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40" windowWidth="15480" windowHeight="9495" tabRatio="798" activeTab="0"/>
  </bookViews>
  <sheets>
    <sheet name="XA GO Z" sheetId="1" r:id="rId1"/>
    <sheet name="XA GO C" sheetId="2" r:id="rId2"/>
    <sheet name="tra thép Z" sheetId="3" r:id="rId3"/>
    <sheet name="tra thép C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fn.BAHTTEXT" hidden="1">#NAME?</definedName>
    <definedName name="BULON">'[1]DATA'!$A$35:$A$41</definedName>
    <definedName name="chop">ROUND('[2]Du toan'!IR1*('[2]Du toan'!IS1+'[2]Du toan'!IT1)/2*'[2]Du toan'!IU1,2)</definedName>
    <definedName name="CLVC3">0.1</definedName>
    <definedName name="cplhsmt">[3]!cplhsmt</definedName>
    <definedName name="cptdhsmt">[3]!cptdhsmt</definedName>
    <definedName name="cptdtdt">[3]!cptdtdt</definedName>
    <definedName name="cptdtkkt">[3]!cptdtkkt</definedName>
    <definedName name="DSTD_Clear" localSheetId="0">[0]!DULIEU2</definedName>
    <definedName name="DSTD_Clear">[0]!DULIEU2</definedName>
    <definedName name="ef">ROUNDUP('[2]Quantity'!IR1*'[2]Quantity'!IS1,1)</definedName>
    <definedName name="efg">ROUNDUP('[2]Quantity'!IR1*'[2]Quantity'!IS1*'[2]Quantity'!IT1,1)</definedName>
    <definedName name="efgh">ROUNDUP('[2]Quantity'!IR1*'[2]Quantity'!IS1*'[2]Quantity'!IT1*'[2]Quantity'!IU1,1)</definedName>
    <definedName name="efghi">ROUNDUP('[2]Quantity'!IR1*'[2]Quantity'!IS1*'[2]Quantity'!IT1*'[2]Quantity'!IU1*'[2]Quantity'!IV1,1)</definedName>
    <definedName name="efh">ROUNDUP('[2]Quantity'!IR1*'[2]Quantity'!IS1*'[2]Quantity'!IU1,1)</definedName>
    <definedName name="exf">ROUNDUP('[2]Keothep'!IR1*'[2]Keothep'!IS1,0)</definedName>
    <definedName name="exfxg">ROUNDUP('[2]Keothep'!IR1*'[2]Keothep'!IS1*'[2]Keothep'!IT1,1)</definedName>
    <definedName name="FiMonOfYear">'[4]FirstAL'!$C$5-IF(('[4]FirstAL'!$D$5-2)&lt;0,('[4]FirstAL'!$D$5+5),('[4]FirstAL'!$D$5-2))</definedName>
    <definedName name="gsktxd">[3]!gsktxd</definedName>
    <definedName name="Heä_soá_laép_xaø_H">1.7</definedName>
    <definedName name="Hinh_thuc">"bangtra"</definedName>
    <definedName name="HSCT3">0.1</definedName>
    <definedName name="HSDN">2.5</definedName>
    <definedName name="HSLXH">1.7</definedName>
    <definedName name="K_1" localSheetId="0">[5]!K_1</definedName>
    <definedName name="K_1">[5]!K_1</definedName>
    <definedName name="K_2" localSheetId="0">[5]!K_2</definedName>
    <definedName name="K_2">[5]!K_2</definedName>
    <definedName name="keo">ROUNDUP('[2]Keothep'!IR1*'[2]Keothep'!IS1*'[2]Keothep'!IT1*'[2]Keothep'!IU1*7.85,0)</definedName>
    <definedName name="lbcnckt" localSheetId="0">[6]!lbcnckt</definedName>
    <definedName name="lbcnckt">[6]!lbcnckt</definedName>
    <definedName name="Module1.cplhsmt" localSheetId="0">[6]!Module1.cplhsmt</definedName>
    <definedName name="Module1.cplhsmt">[6]!Module1.cplhsmt</definedName>
    <definedName name="Module1.cptdhsmt" localSheetId="0">[6]!Module1.cptdhsmt</definedName>
    <definedName name="Module1.cptdhsmt">[6]!Module1.cptdhsmt</definedName>
    <definedName name="Module1.cptdtdt" localSheetId="0">[6]!Module1.cptdtdt</definedName>
    <definedName name="Module1.cptdtdt">[6]!Module1.cptdtdt</definedName>
    <definedName name="Module1.cptdtkkt" localSheetId="0">[6]!Module1.cptdtkkt</definedName>
    <definedName name="Module1.cptdtkkt">[6]!Module1.cptdtkkt</definedName>
    <definedName name="Module1.gsktxd" localSheetId="0">[6]!Module1.gsktxd</definedName>
    <definedName name="Module1.gsktxd">[6]!Module1.gsktxd</definedName>
    <definedName name="Module1.qlda" localSheetId="0">[6]!Module1.qlda</definedName>
    <definedName name="Module1.qlda">[6]!Module1.qlda</definedName>
    <definedName name="Module1.tinhqt" localSheetId="0">[6]!Module1.tinhqt</definedName>
    <definedName name="Module1.tinhqt">[6]!Module1.tinhqt</definedName>
    <definedName name="NHAÂN_COÂNG" localSheetId="0">[0]!Bust</definedName>
    <definedName name="NHAÂN_COÂNG">[0]!Bust</definedName>
    <definedName name="NToS" localSheetId="0">[7]!NToS</definedName>
    <definedName name="NToS">[7]!NToS</definedName>
    <definedName name="_xlnm.Print_Area" localSheetId="1">'XA GO C'!$A$1:$I$51</definedName>
    <definedName name="_xlnm.Print_Area" localSheetId="0">'XA GO Z'!$A$1:$I$53</definedName>
    <definedName name="PtichDTL" localSheetId="0">[0]!PTNC</definedName>
    <definedName name="PtichDTL">[0]!PTNC</definedName>
    <definedName name="qlda">[3]!qlda</definedName>
    <definedName name="QUEHAN">'[1]DATA'!$A$27:$A$29</definedName>
    <definedName name="rate">14000</definedName>
    <definedName name="tdbcnckt" localSheetId="0">[6]!tdbcnckt</definedName>
    <definedName name="tdbcnckt">[6]!tdbcnckt</definedName>
    <definedName name="THEP">'[1]DATA'!$A$21:$A$23</definedName>
    <definedName name="tinhqt">[3]!tinhqt</definedName>
    <definedName name="tkp">[3]!tkp</definedName>
    <definedName name="tkpdt">[3]!tkpdt</definedName>
    <definedName name="TKYB">"TKYB"</definedName>
    <definedName name="tXAGO">#REF!</definedName>
    <definedName name="VAÄT_LIEÄU">"ATRAM"</definedName>
    <definedName name="XAGOC">#REF!</definedName>
    <definedName name="XAGOZ">#REF!</definedName>
    <definedName name="XCCT">0.5</definedName>
  </definedNames>
  <calcPr fullCalcOnLoad="1"/>
</workbook>
</file>

<file path=xl/comments1.xml><?xml version="1.0" encoding="utf-8"?>
<comments xmlns="http://schemas.openxmlformats.org/spreadsheetml/2006/main">
  <authors>
    <author>Dell_Core_I5</author>
    <author>VIET-DAC</author>
  </authors>
  <commentList>
    <comment ref="F14" authorId="0">
      <text>
        <r>
          <rPr>
            <b/>
            <sz val="9"/>
            <rFont val="Tahoma"/>
            <family val="2"/>
          </rPr>
          <t>Dell_Core_I5: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Nếu độ dốc bằng 0 thì nhập góc </t>
        </r>
      </text>
    </comment>
    <comment ref="D46" authorId="0">
      <text>
        <r>
          <rPr>
            <b/>
            <sz val="9"/>
            <rFont val="Tahoma"/>
            <family val="2"/>
          </rPr>
          <t>Dell_Core_I5:</t>
        </r>
        <r>
          <rPr>
            <sz val="9"/>
            <rFont val="Tahoma"/>
            <family val="2"/>
          </rPr>
          <t xml:space="preserve">
l/2 thanh giằng chia xà gồ làm 2, l/3 thanh giằng chia xa gồ làm 3 đoạn
</t>
        </r>
      </text>
    </comment>
    <comment ref="F53" authorId="1">
      <text>
        <r>
          <rPr>
            <b/>
            <sz val="9"/>
            <rFont val="Tahoma"/>
            <family val="2"/>
          </rPr>
          <t>VIET-DAC: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imes New Roman"/>
            <family val="1"/>
          </rPr>
          <t>Δ</t>
        </r>
        <r>
          <rPr>
            <sz val="9"/>
            <rFont val="Tahoma"/>
            <family val="2"/>
          </rPr>
          <t>=L/200</t>
        </r>
      </text>
    </comment>
  </commentList>
</comments>
</file>

<file path=xl/comments2.xml><?xml version="1.0" encoding="utf-8"?>
<comments xmlns="http://schemas.openxmlformats.org/spreadsheetml/2006/main">
  <authors>
    <author>VIET-DAC</author>
    <author>Dell_Core_I5</author>
  </authors>
  <commentList>
    <comment ref="F51" authorId="0">
      <text>
        <r>
          <rPr>
            <b/>
            <sz val="9"/>
            <rFont val="Tahoma"/>
            <family val="2"/>
          </rPr>
          <t>VIET-DAC: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imes New Roman"/>
            <family val="1"/>
          </rPr>
          <t>Δ</t>
        </r>
        <r>
          <rPr>
            <sz val="9"/>
            <rFont val="Tahoma"/>
            <family val="2"/>
          </rPr>
          <t>=L/200</t>
        </r>
      </text>
    </comment>
    <comment ref="D44" authorId="1">
      <text>
        <r>
          <rPr>
            <b/>
            <sz val="9"/>
            <rFont val="Tahoma"/>
            <family val="2"/>
          </rPr>
          <t>Dell_Core_I5:</t>
        </r>
        <r>
          <rPr>
            <sz val="9"/>
            <rFont val="Tahoma"/>
            <family val="2"/>
          </rPr>
          <t xml:space="preserve">
l/2 thanh giằng chia xà gồ làm 2, l/3 thanh giằng chia xa gồ làm 3 đoạn
</t>
        </r>
      </text>
    </comment>
    <comment ref="F14" authorId="1">
      <text>
        <r>
          <rPr>
            <b/>
            <sz val="9"/>
            <rFont val="Tahoma"/>
            <family val="2"/>
          </rPr>
          <t>Dell_Core_I5: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Nếu độ dốc bằng 0 thì nhập góc </t>
        </r>
      </text>
    </comment>
  </commentList>
</comments>
</file>

<file path=xl/sharedStrings.xml><?xml version="1.0" encoding="utf-8"?>
<sst xmlns="http://schemas.openxmlformats.org/spreadsheetml/2006/main" count="352" uniqueCount="176">
  <si>
    <t>mm</t>
  </si>
  <si>
    <t>H =</t>
  </si>
  <si>
    <t>m</t>
  </si>
  <si>
    <t>R =</t>
  </si>
  <si>
    <t>E =</t>
  </si>
  <si>
    <t>cm</t>
  </si>
  <si>
    <t>I. ĐIỀU KIỆN ÁP DỤNG.</t>
  </si>
  <si>
    <t>II. CÔNG THỨC TÍNH TOÁN.</t>
  </si>
  <si>
    <t>II.1. Số liệu tính toán</t>
  </si>
  <si>
    <t>Khoảng cách xà gồ</t>
  </si>
  <si>
    <t>Độ dốc mái</t>
  </si>
  <si>
    <t>Góc dốc</t>
  </si>
  <si>
    <t>l =</t>
  </si>
  <si>
    <t>B =</t>
  </si>
  <si>
    <t>ty =</t>
  </si>
  <si>
    <t xml:space="preserve"> i =</t>
  </si>
  <si>
    <r>
      <t>α</t>
    </r>
    <r>
      <rPr>
        <sz val="12"/>
        <rFont val="Times New Roman"/>
        <family val="1"/>
      </rPr>
      <t xml:space="preserve"> =</t>
    </r>
  </si>
  <si>
    <t>const</t>
  </si>
  <si>
    <t>rad</t>
  </si>
  <si>
    <t>II.2. Tiết diện xà gồ</t>
  </si>
  <si>
    <t>Chiều cao:</t>
  </si>
  <si>
    <t>Bề rộng cánh trên:</t>
  </si>
  <si>
    <t>Diện tích</t>
  </si>
  <si>
    <t>Mô men quán tính:</t>
  </si>
  <si>
    <t>Mô men kháng uốn:</t>
  </si>
  <si>
    <t>B1 =</t>
  </si>
  <si>
    <t>B2 =</t>
  </si>
  <si>
    <t>a =</t>
  </si>
  <si>
    <t>t =</t>
  </si>
  <si>
    <t>Tĩnh tải:</t>
  </si>
  <si>
    <t>Hoạt tải:</t>
  </si>
  <si>
    <t>Phân ra 2 thành phần:</t>
  </si>
  <si>
    <t>Cường độ tính toán của thép:</t>
  </si>
  <si>
    <t>Mô đun đàn hồi thép:</t>
  </si>
  <si>
    <r>
      <t>kG/cm</t>
    </r>
    <r>
      <rPr>
        <vertAlign val="superscript"/>
        <sz val="12"/>
        <rFont val="Times New Roman"/>
        <family val="1"/>
      </rPr>
      <t>2</t>
    </r>
  </si>
  <si>
    <t>II.5. Vật liệu thép:</t>
  </si>
  <si>
    <t>II.4. Tải trọng:</t>
  </si>
  <si>
    <t>II.6. Kiểm tra ứng suất:</t>
  </si>
  <si>
    <t>Phương X:</t>
  </si>
  <si>
    <t>Phương Y:</t>
  </si>
  <si>
    <t>Độ võng cho phép:</t>
  </si>
  <si>
    <t>Độ võng toàn phần:</t>
  </si>
  <si>
    <t>G =</t>
  </si>
  <si>
    <t>Wy =</t>
  </si>
  <si>
    <t>Wx =</t>
  </si>
  <si>
    <t>Jy =</t>
  </si>
  <si>
    <t>Jx =</t>
  </si>
  <si>
    <t>F =</t>
  </si>
  <si>
    <r>
      <t>kG/cm</t>
    </r>
    <r>
      <rPr>
        <i/>
        <vertAlign val="superscript"/>
        <sz val="12"/>
        <rFont val="Times New Roman"/>
        <family val="1"/>
      </rPr>
      <t>2</t>
    </r>
  </si>
  <si>
    <t>Mx =</t>
  </si>
  <si>
    <t>kGm</t>
  </si>
  <si>
    <t>My =</t>
  </si>
  <si>
    <t>σ =</t>
  </si>
  <si>
    <t>[σ]</t>
  </si>
  <si>
    <t>II.6. Kiểm tra độ võng:</t>
  </si>
  <si>
    <r>
      <t>kG/m</t>
    </r>
    <r>
      <rPr>
        <i/>
        <vertAlign val="superscript"/>
        <sz val="12"/>
        <rFont val="Times New Roman"/>
        <family val="1"/>
      </rPr>
      <t>2</t>
    </r>
  </si>
  <si>
    <t>Mômen lớn nhất tại</t>
  </si>
  <si>
    <t>II.3. Đặc trưng hình học tiết diện xà gồ:</t>
  </si>
  <si>
    <t>Loại</t>
  </si>
  <si>
    <t>T.lượng bản thân</t>
  </si>
  <si>
    <t>cm2</t>
  </si>
  <si>
    <t>cm4</t>
  </si>
  <si>
    <t>cm3</t>
  </si>
  <si>
    <t>kG/m</t>
  </si>
  <si>
    <t>Tổng tải  trên xà gồ:</t>
  </si>
  <si>
    <r>
      <t>q</t>
    </r>
    <r>
      <rPr>
        <vertAlign val="superscript"/>
        <sz val="12"/>
        <rFont val="Times New Roman"/>
        <family val="1"/>
      </rPr>
      <t>tt</t>
    </r>
    <r>
      <rPr>
        <sz val="12"/>
        <rFont val="Times New Roman"/>
        <family val="1"/>
      </rPr>
      <t>=</t>
    </r>
  </si>
  <si>
    <t>n=</t>
  </si>
  <si>
    <r>
      <t>q</t>
    </r>
    <r>
      <rPr>
        <vertAlign val="superscript"/>
        <sz val="12"/>
        <rFont val="Times New Roman"/>
        <family val="1"/>
      </rPr>
      <t>tt</t>
    </r>
    <r>
      <rPr>
        <sz val="12"/>
        <rFont val="Times New Roman"/>
        <family val="1"/>
      </rPr>
      <t>x</t>
    </r>
  </si>
  <si>
    <r>
      <t>q</t>
    </r>
    <r>
      <rPr>
        <vertAlign val="superscript"/>
        <sz val="12"/>
        <rFont val="Times New Roman"/>
        <family val="1"/>
      </rPr>
      <t>tt</t>
    </r>
    <r>
      <rPr>
        <sz val="12"/>
        <rFont val="Times New Roman"/>
        <family val="1"/>
      </rPr>
      <t>y</t>
    </r>
  </si>
  <si>
    <r>
      <t>Mx =q</t>
    </r>
    <r>
      <rPr>
        <vertAlign val="subscript"/>
        <sz val="12"/>
        <rFont val="Times New Roman"/>
        <family val="1"/>
      </rPr>
      <t xml:space="preserve">y </t>
    </r>
    <r>
      <rPr>
        <sz val="12"/>
        <rFont val="Times New Roman"/>
        <family val="1"/>
      </rPr>
      <t>l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/8</t>
    </r>
  </si>
  <si>
    <t>Mô men uốn quanh trục x</t>
  </si>
  <si>
    <t>l/2</t>
  </si>
  <si>
    <t>XÀ GỒ C CHỊU UỐN XIÊN</t>
  </si>
  <si>
    <t>L =</t>
  </si>
  <si>
    <t>W =</t>
  </si>
  <si>
    <t>TT</t>
  </si>
  <si>
    <t>HT</t>
  </si>
  <si>
    <t>TÍNH TOÁN XÀ GỒ</t>
  </si>
  <si>
    <t>Chiều dài nhịp</t>
  </si>
  <si>
    <t>Số ty giằng</t>
  </si>
  <si>
    <t>Tải trọng tiêu chuẩn tác dụng lên xà gồ:</t>
  </si>
  <si>
    <r>
      <t>q</t>
    </r>
    <r>
      <rPr>
        <vertAlign val="superscript"/>
        <sz val="12"/>
        <rFont val="Times New Roman"/>
        <family val="1"/>
      </rPr>
      <t>tc</t>
    </r>
    <r>
      <rPr>
        <sz val="12"/>
        <rFont val="Times New Roman"/>
        <family val="1"/>
      </rPr>
      <t>=</t>
    </r>
  </si>
  <si>
    <r>
      <t>q</t>
    </r>
    <r>
      <rPr>
        <vertAlign val="superscript"/>
        <sz val="12"/>
        <rFont val="Times New Roman"/>
        <family val="1"/>
      </rPr>
      <t>tc</t>
    </r>
    <r>
      <rPr>
        <sz val="12"/>
        <rFont val="Times New Roman"/>
        <family val="1"/>
      </rPr>
      <t>x</t>
    </r>
  </si>
  <si>
    <r>
      <t>q</t>
    </r>
    <r>
      <rPr>
        <vertAlign val="superscript"/>
        <sz val="12"/>
        <rFont val="Times New Roman"/>
        <family val="1"/>
      </rPr>
      <t>tc</t>
    </r>
    <r>
      <rPr>
        <vertAlign val="subscript"/>
        <sz val="12"/>
        <rFont val="Times New Roman"/>
        <family val="1"/>
      </rPr>
      <t>y</t>
    </r>
  </si>
  <si>
    <t>Mô men uốn quanh trục y (có thanh giằng chia xà gồ)</t>
  </si>
  <si>
    <t>f/L =</t>
  </si>
  <si>
    <t>[f/L] =</t>
  </si>
  <si>
    <t>lx=</t>
  </si>
  <si>
    <t>ly =</t>
  </si>
  <si>
    <t>độ</t>
  </si>
  <si>
    <t>%        α =</t>
  </si>
  <si>
    <t>rad      α =</t>
  </si>
  <si>
    <t>BẢNG TRA THÉP CHỮ Z, TCVN 1655-75</t>
  </si>
  <si>
    <t>h: chiều cao thép hình</t>
  </si>
  <si>
    <t>b: bề rộng cánh</t>
  </si>
  <si>
    <t>d: bề dày bụng</t>
  </si>
  <si>
    <t>t: bề dày trung bình cánh</t>
  </si>
  <si>
    <t>R: bán kính lượn góc</t>
  </si>
  <si>
    <t>J: mômen quán tính</t>
  </si>
  <si>
    <t>W: mômen chống uốn</t>
  </si>
  <si>
    <t>r: bán kính quán tính</t>
  </si>
  <si>
    <r>
      <t>S</t>
    </r>
    <r>
      <rPr>
        <sz val="10"/>
        <rFont val="Times New Roman"/>
        <family val="1"/>
      </rPr>
      <t>x</t>
    </r>
    <r>
      <rPr>
        <sz val="13"/>
        <rFont val="Times New Roman"/>
        <family val="1"/>
      </rPr>
      <t>: mômen tĩnh của nửa tiết diện</t>
    </r>
  </si>
  <si>
    <t>Số hiệu</t>
  </si>
  <si>
    <t>Khối lượng 1m chiều dài (kg/m)</t>
  </si>
  <si>
    <t>Kích thước (mm)</t>
  </si>
  <si>
    <t>Diện tích mặt cắt ngang (cm2)</t>
  </si>
  <si>
    <r>
      <t>Mômen quán tính               J</t>
    </r>
    <r>
      <rPr>
        <b/>
        <sz val="10"/>
        <color indexed="10"/>
        <rFont val="Times New Roman"/>
        <family val="1"/>
      </rPr>
      <t>x</t>
    </r>
  </si>
  <si>
    <r>
      <t>Mômen chống uốn W</t>
    </r>
    <r>
      <rPr>
        <b/>
        <sz val="10"/>
        <color indexed="10"/>
        <rFont val="Times New Roman"/>
        <family val="1"/>
      </rPr>
      <t>x</t>
    </r>
  </si>
  <si>
    <r>
      <t>Bán kính quán tính r</t>
    </r>
    <r>
      <rPr>
        <b/>
        <sz val="10"/>
        <color indexed="10"/>
        <rFont val="Times New Roman"/>
        <family val="1"/>
      </rPr>
      <t>x</t>
    </r>
  </si>
  <si>
    <r>
      <t>Mômen tĩnh     S</t>
    </r>
    <r>
      <rPr>
        <b/>
        <sz val="10"/>
        <color indexed="10"/>
        <rFont val="Times New Roman"/>
        <family val="1"/>
      </rPr>
      <t>x</t>
    </r>
  </si>
  <si>
    <r>
      <t>Mômen quán tính J</t>
    </r>
    <r>
      <rPr>
        <b/>
        <sz val="10"/>
        <color indexed="10"/>
        <rFont val="Times New Roman"/>
        <family val="1"/>
      </rPr>
      <t>y</t>
    </r>
  </si>
  <si>
    <r>
      <t>Mômen chống uốn W</t>
    </r>
    <r>
      <rPr>
        <b/>
        <sz val="10"/>
        <color indexed="10"/>
        <rFont val="Times New Roman"/>
        <family val="1"/>
      </rPr>
      <t>y</t>
    </r>
  </si>
  <si>
    <r>
      <t>Bán kính quán tính r</t>
    </r>
    <r>
      <rPr>
        <b/>
        <sz val="10"/>
        <color indexed="10"/>
        <rFont val="Times New Roman"/>
        <family val="1"/>
      </rPr>
      <t>y</t>
    </r>
  </si>
  <si>
    <t>C.dày bản        t</t>
  </si>
  <si>
    <t>Bán kính     r</t>
  </si>
  <si>
    <t>(cm4)</t>
  </si>
  <si>
    <t>(cm3)</t>
  </si>
  <si>
    <t>(cm)</t>
  </si>
  <si>
    <t>1.8</t>
  </si>
  <si>
    <t>2.3</t>
  </si>
  <si>
    <t>2.5</t>
  </si>
  <si>
    <t>D =</t>
  </si>
  <si>
    <t>Đoạn vươn ra:</t>
  </si>
  <si>
    <t>Chiều dày bản:</t>
  </si>
  <si>
    <t>Z150x62x1.8</t>
  </si>
  <si>
    <t>Chiều cao      D</t>
  </si>
  <si>
    <t>C.rộng cánh trên     B1</t>
  </si>
  <si>
    <t>C.rộng cánh dưới    B2</t>
  </si>
  <si>
    <t>C.dài vươn ra      (a)</t>
  </si>
  <si>
    <t xml:space="preserve">BẢNG TRA THÉP CHỮ C, </t>
  </si>
  <si>
    <r>
      <t>Diện tích mặt cắt ngang (cm</t>
    </r>
    <r>
      <rPr>
        <b/>
        <vertAlign val="superscript"/>
        <sz val="13"/>
        <color indexed="10"/>
        <rFont val="Times New Roman"/>
        <family val="1"/>
      </rPr>
      <t>2</t>
    </r>
    <r>
      <rPr>
        <b/>
        <sz val="13"/>
        <color indexed="10"/>
        <rFont val="Times New Roman"/>
        <family val="1"/>
      </rPr>
      <t>)</t>
    </r>
  </si>
  <si>
    <r>
      <t>Mômen quán tính J</t>
    </r>
    <r>
      <rPr>
        <i/>
        <vertAlign val="subscript"/>
        <sz val="13"/>
        <color indexed="10"/>
        <rFont val="Times New Roman"/>
        <family val="1"/>
      </rPr>
      <t>x</t>
    </r>
  </si>
  <si>
    <r>
      <t>Mômen chống uốn W</t>
    </r>
    <r>
      <rPr>
        <i/>
        <vertAlign val="subscript"/>
        <sz val="13"/>
        <color indexed="10"/>
        <rFont val="Times New Roman"/>
        <family val="1"/>
      </rPr>
      <t>x</t>
    </r>
  </si>
  <si>
    <r>
      <t>Bán kính quán tính r</t>
    </r>
    <r>
      <rPr>
        <i/>
        <vertAlign val="subscript"/>
        <sz val="13"/>
        <color indexed="10"/>
        <rFont val="Times New Roman"/>
        <family val="1"/>
      </rPr>
      <t>x</t>
    </r>
  </si>
  <si>
    <r>
      <t>Mômen tĩnh     S</t>
    </r>
    <r>
      <rPr>
        <i/>
        <vertAlign val="subscript"/>
        <sz val="13"/>
        <color indexed="10"/>
        <rFont val="Times New Roman"/>
        <family val="1"/>
      </rPr>
      <t>x</t>
    </r>
  </si>
  <si>
    <r>
      <t>Mômen quán tính J</t>
    </r>
    <r>
      <rPr>
        <i/>
        <vertAlign val="subscript"/>
        <sz val="13"/>
        <color indexed="10"/>
        <rFont val="Times New Roman"/>
        <family val="1"/>
      </rPr>
      <t>y</t>
    </r>
  </si>
  <si>
    <r>
      <t>Mômen chống uốn W</t>
    </r>
    <r>
      <rPr>
        <i/>
        <vertAlign val="subscript"/>
        <sz val="13"/>
        <color indexed="10"/>
        <rFont val="Times New Roman"/>
        <family val="1"/>
      </rPr>
      <t>y</t>
    </r>
  </si>
  <si>
    <r>
      <t>Bán kính quán tính r</t>
    </r>
    <r>
      <rPr>
        <i/>
        <vertAlign val="subscript"/>
        <sz val="13"/>
        <color indexed="10"/>
        <rFont val="Times New Roman"/>
        <family val="1"/>
      </rPr>
      <t>y</t>
    </r>
  </si>
  <si>
    <r>
      <t>Tung độ trọng tâm x</t>
    </r>
    <r>
      <rPr>
        <b/>
        <vertAlign val="subscript"/>
        <sz val="13"/>
        <color indexed="10"/>
        <rFont val="Times New Roman"/>
        <family val="1"/>
      </rPr>
      <t>C</t>
    </r>
  </si>
  <si>
    <t>Kích thước (cm)</t>
  </si>
  <si>
    <t>Chiều
cao
h</t>
  </si>
  <si>
    <t>Chiều dài cạnh bo
L</t>
  </si>
  <si>
    <t>Bề
dày
t</t>
  </si>
  <si>
    <t>Bán
kính
R1</t>
  </si>
  <si>
    <t>Bán
kính
R2</t>
  </si>
  <si>
    <t>Chiều
rộng
b</t>
  </si>
  <si>
    <t>Chiều dài góc bo
L</t>
  </si>
  <si>
    <t>Chiều
dày
t</t>
  </si>
  <si>
    <t>b*</t>
  </si>
  <si>
    <t>L*</t>
  </si>
  <si>
    <t>K/cách tọa độ S2=S3</t>
  </si>
  <si>
    <t>S2=S3</t>
  </si>
  <si>
    <t>K/cách tọa độ S4=S5</t>
  </si>
  <si>
    <t>S4=S5</t>
  </si>
  <si>
    <t>Jx1</t>
  </si>
  <si>
    <t>K/cách từ trọng tâm cánh đến trọng tâm bụng theo phương đứng</t>
  </si>
  <si>
    <t>Jx2=Jx3</t>
  </si>
  <si>
    <t>K/cách từ trọng tâm cạnh bo đến trọng tâm bụng theo phương đứng</t>
  </si>
  <si>
    <t>Jx4=Jx5</t>
  </si>
  <si>
    <t>K/cách từ trọng tâm bụng đến trọng tâm C theo phương ngang</t>
  </si>
  <si>
    <t>Jy1</t>
  </si>
  <si>
    <t>K/cách từ trọng tâm cánh đến trọng tâm C theo phương ngang</t>
  </si>
  <si>
    <t>Jy2=Jy3</t>
  </si>
  <si>
    <t>K/cách từ trọng tâm cạnh bo đến trọng tâm C theo phương ngang</t>
  </si>
  <si>
    <t>Jy4=Jy5</t>
  </si>
  <si>
    <r>
      <t>(cm</t>
    </r>
    <r>
      <rPr>
        <b/>
        <vertAlign val="superscript"/>
        <sz val="13"/>
        <color indexed="10"/>
        <rFont val="Times New Roman"/>
        <family val="1"/>
      </rPr>
      <t>4</t>
    </r>
    <r>
      <rPr>
        <b/>
        <sz val="13"/>
        <color indexed="10"/>
        <rFont val="Times New Roman"/>
        <family val="1"/>
      </rPr>
      <t>)</t>
    </r>
  </si>
  <si>
    <r>
      <t>(cm</t>
    </r>
    <r>
      <rPr>
        <b/>
        <vertAlign val="superscript"/>
        <sz val="13"/>
        <color indexed="10"/>
        <rFont val="Times New Roman"/>
        <family val="1"/>
      </rPr>
      <t>3</t>
    </r>
    <r>
      <rPr>
        <b/>
        <sz val="13"/>
        <color indexed="10"/>
        <rFont val="Times New Roman"/>
        <family val="1"/>
      </rPr>
      <t>)</t>
    </r>
  </si>
  <si>
    <t>Bề
rộng
w</t>
  </si>
  <si>
    <t>C.dài cạnh bo:</t>
  </si>
  <si>
    <t>Bề dày bản:</t>
  </si>
  <si>
    <t>C175x50x20x2</t>
  </si>
  <si>
    <t>=</t>
  </si>
  <si>
    <t>II.7. Kiểm tra độ võng:</t>
  </si>
  <si>
    <t>C.TRÌNH:</t>
  </si>
  <si>
    <t>HẠNG MỤC:</t>
  </si>
  <si>
    <t>ĐỊA ĐIỂM: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</si>
</sst>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E+00"/>
    <numFmt numFmtId="175" formatCode="0.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0.000"/>
    <numFmt numFmtId="179" formatCode="&quot;￥&quot;#,##0;&quot;￥&quot;\-#,##0"/>
    <numFmt numFmtId="180" formatCode="#,##0\ &quot;DM&quot;;\-#,##0\ &quot;DM&quot;"/>
    <numFmt numFmtId="181" formatCode="0.000%"/>
    <numFmt numFmtId="182" formatCode="_(* #,##0.0000_);_(* \(#,##0.0000\);_(* &quot;-&quot;??_);_(@_)"/>
    <numFmt numFmtId="183" formatCode="0.00;[Red]0.00"/>
    <numFmt numFmtId="184" formatCode="_-&quot;ñ&quot;* #,##0_-;\-&quot;ñ&quot;* #,##0_-;_-&quot;ñ&quot;* &quot;-&quot;_-;_-@_-"/>
    <numFmt numFmtId="185" formatCode="_-* #,##0\ &quot;F&quot;_-;\-* #,##0\ &quot;F&quot;_-;_-* &quot;-&quot;\ &quot;F&quot;_-;_-@_-"/>
    <numFmt numFmtId="186" formatCode="_-* #,##0\ _F_-;\-* #,##0\ _F_-;_-* &quot;-&quot;\ _F_-;_-@_-"/>
    <numFmt numFmtId="187" formatCode="_ * #,##0.00_ ;_ * \-#,##0.00_ ;_ * &quot;-&quot;??_ ;_ @_ "/>
    <numFmt numFmtId="188" formatCode="_ * #,##0_ ;_ * \-#,##0_ ;_ * &quot;-&quot;_ ;_ @_ "/>
    <numFmt numFmtId="189" formatCode="_-* #,##0&quot;$&quot;_-;_-* #,##0&quot;$&quot;\-;_-* &quot;-&quot;&quot;$&quot;_-;_-@_-"/>
    <numFmt numFmtId="190" formatCode="_-* #,##0\ &quot;$&quot;_-;\-* #,##0\ &quot;$&quot;_-;_-* &quot;-&quot;\ &quot;$&quot;_-;_-@_-"/>
    <numFmt numFmtId="191" formatCode="_-* #,##0.00_$_-;_-* #,##0.00_$\-;_-* &quot;-&quot;??_$_-;_-@_-"/>
    <numFmt numFmtId="192" formatCode="_-* #,##0.00\ _V_N_D_-;\-* #,##0.00\ _V_N_D_-;_-* &quot;-&quot;??\ _V_N_D_-;_-@_-"/>
    <numFmt numFmtId="193" formatCode="_-* #,##0.00\ _F_-;\-* #,##0.00\ _F_-;_-* &quot;-&quot;??\ _F_-;_-@_-"/>
    <numFmt numFmtId="194" formatCode="_-* #,##0.00\ _V_N_Ñ_-;_-* #,##0.00\ _V_N_Ñ\-;_-* &quot;-&quot;??\ _V_N_Ñ_-;_-@_-"/>
    <numFmt numFmtId="195" formatCode="_-* #,##0.00\ _ñ_-;\-* #,##0.00\ _ñ_-;_-* &quot;-&quot;??\ _ñ_-;_-@_-"/>
    <numFmt numFmtId="196" formatCode="_(&quot;$&quot;\ * #,##0_);_(&quot;$&quot;\ * \(#,##0\);_(&quot;$&quot;\ * &quot;-&quot;_);_(@_)"/>
    <numFmt numFmtId="197" formatCode="_-* #,##0\ &quot;ñ&quot;_-;\-* #,##0\ &quot;ñ&quot;_-;_-* &quot;-&quot;\ &quot;ñ&quot;_-;_-@_-"/>
    <numFmt numFmtId="198" formatCode="_-* #,##0_$_-;_-* #,##0_$\-;_-* &quot;-&quot;_$_-;_-@_-"/>
    <numFmt numFmtId="199" formatCode="_-* #,##0\ _V_N_D_-;\-* #,##0\ _V_N_D_-;_-* &quot;-&quot;\ _V_N_D_-;_-@_-"/>
    <numFmt numFmtId="200" formatCode="_-* #,##0\ _V_N_Ñ_-;_-* #,##0\ _V_N_Ñ\-;_-* &quot;-&quot;\ _V_N_Ñ_-;_-@_-"/>
    <numFmt numFmtId="201" formatCode="_-* #,##0\ _$_-;\-* #,##0\ _$_-;_-* &quot;-&quot;\ _$_-;_-@_-"/>
    <numFmt numFmtId="202" formatCode="_-* #,##0\ _ñ_-;\-* #,##0\ _ñ_-;_-* &quot;-&quot;\ _ñ_-;_-@_-"/>
    <numFmt numFmtId="203" formatCode="&quot;SFr.&quot;\ #,##0.00;[Red]&quot;SFr.&quot;\ \-#,##0.00"/>
    <numFmt numFmtId="204" formatCode="_ &quot;SFr.&quot;\ * #,##0_ ;_ &quot;SFr.&quot;\ * \-#,##0_ ;_ &quot;SFr.&quot;\ * &quot;-&quot;_ ;_ @_ "/>
    <numFmt numFmtId="205" formatCode="_ &quot;\&quot;* #,##0.00_ ;_ &quot;\&quot;* \-#,##0.00_ ;_ &quot;\&quot;* &quot;-&quot;??_ ;_ @_ "/>
    <numFmt numFmtId="206" formatCode="_-* #,##0.00\ &quot;F&quot;_-;\-* #,##0.00\ &quot;F&quot;_-;_-* &quot;-&quot;??\ &quot;F&quot;_-;_-@_-"/>
    <numFmt numFmtId="207" formatCode="_(* #,##0.000_);_(* \(#,##0.000\);_(* &quot;-&quot;??_);_(@_)"/>
    <numFmt numFmtId="208" formatCode="#,##0_);\-#,##0_)"/>
    <numFmt numFmtId="209" formatCode="_(* #,##0.000000_);_(* \(#,##0.000000\);_(* &quot;-&quot;??_);_(@_)"/>
    <numFmt numFmtId="210" formatCode="0.00_)"/>
    <numFmt numFmtId="211" formatCode="#,##0.00_);\-#,##0.00_)"/>
    <numFmt numFmtId="212" formatCode="#,##0.00\ &quot;F&quot;;[Red]\-#,##0.00\ &quot;F&quot;"/>
    <numFmt numFmtId="213" formatCode="#,##0\ &quot;F&quot;;[Red]\-#,##0\ &quot;F&quot;"/>
    <numFmt numFmtId="214" formatCode="#,##0.00\ &quot;F&quot;;\-#,##0.00\ &quot;F&quot;"/>
    <numFmt numFmtId="215" formatCode="_(* #,##0_);_(* \(#,##0\);_(* &quot;-&quot;??_);_(@_)"/>
    <numFmt numFmtId="216" formatCode="0.0000000"/>
    <numFmt numFmtId="217" formatCode="0.00000000"/>
    <numFmt numFmtId="218" formatCode="0.000000"/>
    <numFmt numFmtId="219" formatCode="0.00000"/>
    <numFmt numFmtId="220" formatCode="#,##0.0"/>
  </numFmts>
  <fonts count="117">
    <font>
      <sz val="13"/>
      <color theme="1"/>
      <name val="Times New Roman"/>
      <family val="2"/>
    </font>
    <font>
      <sz val="13"/>
      <color indexed="8"/>
      <name val="Times New Roman"/>
      <family val="2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0"/>
      <name val="Arial"/>
      <family val="2"/>
    </font>
    <font>
      <sz val="12"/>
      <name val=".VnArial Narrow"/>
      <family val="2"/>
    </font>
    <font>
      <sz val="10"/>
      <name val=".VnTime"/>
      <family val="2"/>
    </font>
    <font>
      <u val="single"/>
      <sz val="12"/>
      <color indexed="36"/>
      <name val="Times New Roman"/>
      <family val="1"/>
    </font>
    <font>
      <b/>
      <sz val="12"/>
      <name val="Arial"/>
      <family val="2"/>
    </font>
    <font>
      <u val="single"/>
      <sz val="12"/>
      <color indexed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8"/>
      <name val="Times New Roman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color indexed="14"/>
      <name val="Tahoma"/>
      <family val="2"/>
    </font>
    <font>
      <b/>
      <sz val="10"/>
      <name val="Tahoma"/>
      <family val="2"/>
    </font>
    <font>
      <b/>
      <sz val="20"/>
      <color indexed="63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2"/>
      <name val="Times New Roman"/>
      <family val="1"/>
    </font>
    <font>
      <sz val="12"/>
      <name val="Symbol"/>
      <family val="1"/>
    </font>
    <font>
      <b/>
      <i/>
      <sz val="13"/>
      <color indexed="10"/>
      <name val="Times New Roman"/>
      <family val="1"/>
    </font>
    <font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0"/>
      <name val="VNI-Times"/>
      <family val="0"/>
    </font>
    <font>
      <b/>
      <sz val="10"/>
      <color indexed="10"/>
      <name val="Tahoma"/>
      <family val="2"/>
    </font>
    <font>
      <i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0"/>
      <name val=".VnArial Narrow"/>
      <family val="2"/>
    </font>
    <font>
      <sz val="12"/>
      <name val="VNI-Times"/>
      <family val="0"/>
    </font>
    <font>
      <sz val="12"/>
      <name val="???"/>
      <family val="1"/>
    </font>
    <font>
      <sz val="10"/>
      <name val=".VnArial"/>
      <family val="2"/>
    </font>
    <font>
      <sz val="12"/>
      <name val="????"/>
      <family val="0"/>
    </font>
    <font>
      <sz val="12"/>
      <name val="|??¢¥¢¬¨Ï"/>
      <family val="1"/>
    </font>
    <font>
      <sz val="12"/>
      <color indexed="8"/>
      <name val="¹ÙÅÁÃ¼"/>
      <family val="1"/>
    </font>
    <font>
      <sz val="12"/>
      <name val="¹UAAA¼"/>
      <family val="3"/>
    </font>
    <font>
      <sz val="12"/>
      <name val="¹ÙÅÁÃ¼"/>
      <family val="0"/>
    </font>
    <font>
      <sz val="11"/>
      <name val="µ¸¿ò"/>
      <family val="0"/>
    </font>
    <font>
      <b/>
      <sz val="10"/>
      <name val="Helv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Helv"/>
      <family val="2"/>
    </font>
    <font>
      <b/>
      <sz val="11"/>
      <name val="Helv"/>
      <family val="2"/>
    </font>
    <font>
      <b/>
      <i/>
      <sz val="16"/>
      <name val="Helv"/>
      <family val="0"/>
    </font>
    <font>
      <sz val="11"/>
      <name val="VNI-Aptima"/>
      <family val="0"/>
    </font>
    <font>
      <sz val="10"/>
      <name val="VNbook-Antiqua"/>
      <family val="2"/>
    </font>
    <font>
      <sz val="10"/>
      <name val="Symbol"/>
      <family val="1"/>
    </font>
    <font>
      <sz val="13"/>
      <name val=".VnTime"/>
      <family val="2"/>
    </font>
    <font>
      <sz val="12"/>
      <name val="Courier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3"/>
      <color indexed="10"/>
      <name val="Times New Roman"/>
      <family val="1"/>
    </font>
    <font>
      <i/>
      <vertAlign val="subscript"/>
      <sz val="13"/>
      <color indexed="10"/>
      <name val="Times New Roman"/>
      <family val="1"/>
    </font>
    <font>
      <b/>
      <vertAlign val="subscript"/>
      <sz val="13"/>
      <color indexed="10"/>
      <name val="Times New Roman"/>
      <family val="1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sz val="11"/>
      <color indexed="8"/>
      <name val="Arial"/>
      <family val="2"/>
    </font>
    <font>
      <b/>
      <sz val="13"/>
      <color indexed="63"/>
      <name val="Times New Roman"/>
      <family val="2"/>
    </font>
    <font>
      <b/>
      <sz val="18"/>
      <color indexed="56"/>
      <name val="Times New Roman"/>
      <family val="2"/>
    </font>
    <font>
      <sz val="13"/>
      <color indexed="10"/>
      <name val="Times New Roman"/>
      <family val="2"/>
    </font>
    <font>
      <sz val="12"/>
      <color indexed="10"/>
      <name val="Times New Roman"/>
      <family val="1"/>
    </font>
    <font>
      <b/>
      <sz val="18"/>
      <color indexed="30"/>
      <name val="Times New Roman"/>
      <family val="1"/>
    </font>
    <font>
      <b/>
      <sz val="13"/>
      <color indexed="30"/>
      <name val="Times New Roman"/>
      <family val="1"/>
    </font>
    <font>
      <b/>
      <sz val="13"/>
      <color indexed="36"/>
      <name val="Times New Roman"/>
      <family val="1"/>
    </font>
    <font>
      <sz val="13"/>
      <color indexed="36"/>
      <name val="Times New Roman"/>
      <family val="1"/>
    </font>
    <font>
      <sz val="8"/>
      <name val="Tahoma"/>
      <family val="2"/>
    </font>
    <font>
      <sz val="11"/>
      <color indexed="8"/>
      <name val="Tahoma"/>
      <family val="2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sz val="11"/>
      <color theme="1"/>
      <name val="Calibri"/>
      <family val="2"/>
    </font>
    <font>
      <b/>
      <sz val="13"/>
      <color rgb="FF3F3F3F"/>
      <name val="Times New Roman"/>
      <family val="2"/>
    </font>
    <font>
      <b/>
      <sz val="18"/>
      <color theme="3"/>
      <name val="Cambria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  <font>
      <sz val="12"/>
      <color rgb="FFFF0000"/>
      <name val="Times New Roman"/>
      <family val="1"/>
    </font>
    <font>
      <b/>
      <sz val="18"/>
      <color rgb="FF0070C0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0070C0"/>
      <name val="Times New Roman"/>
      <family val="1"/>
    </font>
    <font>
      <b/>
      <sz val="13"/>
      <color rgb="FF7030A0"/>
      <name val="Times New Roman"/>
      <family val="1"/>
    </font>
    <font>
      <sz val="13"/>
      <color rgb="FF7030A0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 style="dashed"/>
      <right style="medium"/>
      <top>
        <color indexed="63"/>
      </top>
      <bottom style="double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ouble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5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4" fontId="42" fillId="0" borderId="0" applyFont="0" applyFill="0" applyBorder="0" applyAlignment="0" applyProtection="0"/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7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169" fontId="45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6" fillId="0" borderId="0">
      <alignment/>
      <protection/>
    </xf>
    <xf numFmtId="0" fontId="6" fillId="0" borderId="0" applyNumberFormat="0" applyFill="0" applyBorder="0" applyAlignment="0" applyProtection="0"/>
    <xf numFmtId="189" fontId="36" fillId="0" borderId="0" applyFont="0" applyFill="0" applyBorder="0" applyAlignment="0" applyProtection="0"/>
    <xf numFmtId="185" fontId="42" fillId="0" borderId="0" applyFont="0" applyFill="0" applyBorder="0" applyAlignment="0" applyProtection="0"/>
    <xf numFmtId="190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91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69" fontId="42" fillId="0" borderId="0" applyFont="0" applyFill="0" applyBorder="0" applyAlignment="0" applyProtection="0"/>
    <xf numFmtId="189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5" fontId="42" fillId="0" borderId="0" applyFont="0" applyFill="0" applyBorder="0" applyAlignment="0" applyProtection="0"/>
    <xf numFmtId="190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71" fontId="42" fillId="0" borderId="0" applyFont="0" applyFill="0" applyBorder="0" applyAlignment="0" applyProtection="0"/>
    <xf numFmtId="19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6" fontId="42" fillId="0" borderId="0" applyFont="0" applyFill="0" applyBorder="0" applyAlignment="0" applyProtection="0"/>
    <xf numFmtId="201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5" fontId="42" fillId="0" borderId="0" applyFont="0" applyFill="0" applyBorder="0" applyAlignment="0" applyProtection="0"/>
    <xf numFmtId="190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69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9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6" fontId="42" fillId="0" borderId="0" applyFont="0" applyFill="0" applyBorder="0" applyAlignment="0" applyProtection="0"/>
    <xf numFmtId="201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69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9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69" fontId="42" fillId="0" borderId="0" applyFont="0" applyFill="0" applyBorder="0" applyAlignment="0" applyProtection="0"/>
    <xf numFmtId="19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6" fontId="42" fillId="0" borderId="0" applyFont="0" applyFill="0" applyBorder="0" applyAlignment="0" applyProtection="0"/>
    <xf numFmtId="201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0" fontId="6" fillId="0" borderId="0">
      <alignment/>
      <protection/>
    </xf>
    <xf numFmtId="9" fontId="47" fillId="0" borderId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203" fontId="6" fillId="0" borderId="0" applyFont="0" applyFill="0" applyBorder="0" applyAlignment="0" applyProtection="0"/>
    <xf numFmtId="0" fontId="48" fillId="0" borderId="0" applyFont="0" applyFill="0" applyBorder="0" applyAlignment="0" applyProtection="0"/>
    <xf numFmtId="204" fontId="6" fillId="0" borderId="0" applyFont="0" applyFill="0" applyBorder="0" applyAlignment="0" applyProtection="0"/>
    <xf numFmtId="0" fontId="48" fillId="0" borderId="0" applyFont="0" applyFill="0" applyBorder="0" applyAlignment="0" applyProtection="0"/>
    <xf numFmtId="205" fontId="49" fillId="0" borderId="0" applyFont="0" applyFill="0" applyBorder="0" applyAlignment="0" applyProtection="0"/>
    <xf numFmtId="188" fontId="49" fillId="0" borderId="0" applyFont="0" applyFill="0" applyBorder="0" applyAlignment="0" applyProtection="0"/>
    <xf numFmtId="0" fontId="48" fillId="0" borderId="0" applyFont="0" applyFill="0" applyBorder="0" applyAlignment="0" applyProtection="0"/>
    <xf numFmtId="188" fontId="49" fillId="0" borderId="0" applyFont="0" applyFill="0" applyBorder="0" applyAlignment="0" applyProtection="0"/>
    <xf numFmtId="187" fontId="49" fillId="0" borderId="0" applyFont="0" applyFill="0" applyBorder="0" applyAlignment="0" applyProtection="0"/>
    <xf numFmtId="0" fontId="48" fillId="0" borderId="0" applyFont="0" applyFill="0" applyBorder="0" applyAlignment="0" applyProtection="0"/>
    <xf numFmtId="187" fontId="49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93" fillId="25" borderId="0" applyNumberFormat="0" applyBorder="0" applyAlignment="0" applyProtection="0"/>
    <xf numFmtId="0" fontId="48" fillId="0" borderId="0">
      <alignment/>
      <protection/>
    </xf>
    <xf numFmtId="0" fontId="35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94" fillId="26" borderId="1" applyNumberFormat="0" applyAlignment="0" applyProtection="0"/>
    <xf numFmtId="0" fontId="51" fillId="0" borderId="0">
      <alignment/>
      <protection/>
    </xf>
    <xf numFmtId="206" fontId="36" fillId="0" borderId="0" applyFont="0" applyFill="0" applyBorder="0" applyAlignment="0" applyProtection="0"/>
    <xf numFmtId="0" fontId="9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2" fontId="7" fillId="0" borderId="0" applyFont="0" applyFill="0" applyBorder="0" applyAlignment="0" applyProtection="0"/>
    <xf numFmtId="172" fontId="8" fillId="0" borderId="0">
      <alignment/>
      <protection/>
    </xf>
    <xf numFmtId="0" fontId="6" fillId="0" borderId="0" applyFont="0" applyFill="0" applyBorder="0" applyAlignment="0" applyProtection="0"/>
    <xf numFmtId="207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0" fontId="96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7" fillId="28" borderId="0" applyNumberFormat="0" applyBorder="0" applyAlignment="0" applyProtection="0"/>
    <xf numFmtId="38" fontId="52" fillId="29" borderId="0" applyNumberFormat="0" applyBorder="0" applyAlignment="0" applyProtection="0"/>
    <xf numFmtId="208" fontId="53" fillId="30" borderId="0" applyBorder="0" applyProtection="0">
      <alignment/>
    </xf>
    <xf numFmtId="0" fontId="54" fillId="0" borderId="0">
      <alignment horizontal="left"/>
      <protection/>
    </xf>
    <xf numFmtId="0" fontId="10" fillId="0" borderId="3" applyNumberFormat="0" applyAlignment="0" applyProtection="0"/>
    <xf numFmtId="0" fontId="10" fillId="0" borderId="4">
      <alignment horizontal="left" vertical="center"/>
      <protection/>
    </xf>
    <xf numFmtId="0" fontId="98" fillId="0" borderId="5" applyNumberFormat="0" applyFill="0" applyAlignment="0" applyProtection="0"/>
    <xf numFmtId="0" fontId="99" fillId="0" borderId="6" applyNumberFormat="0" applyFill="0" applyAlignment="0" applyProtection="0"/>
    <xf numFmtId="0" fontId="100" fillId="0" borderId="7" applyNumberFormat="0" applyFill="0" applyAlignment="0" applyProtection="0"/>
    <xf numFmtId="0" fontId="100" fillId="0" borderId="0" applyNumberFormat="0" applyFill="0" applyBorder="0" applyAlignment="0" applyProtection="0"/>
    <xf numFmtId="209" fontId="42" fillId="0" borderId="0">
      <alignment/>
      <protection locked="0"/>
    </xf>
    <xf numFmtId="209" fontId="42" fillId="0" borderId="0">
      <alignment/>
      <protection locked="0"/>
    </xf>
    <xf numFmtId="0" fontId="11" fillId="0" borderId="0" applyNumberFormat="0" applyFill="0" applyBorder="0" applyAlignment="0" applyProtection="0"/>
    <xf numFmtId="202" fontId="36" fillId="0" borderId="0" applyFont="0" applyFill="0" applyBorder="0" applyAlignment="0" applyProtection="0"/>
    <xf numFmtId="0" fontId="101" fillId="31" borderId="1" applyNumberFormat="0" applyAlignment="0" applyProtection="0"/>
    <xf numFmtId="10" fontId="52" fillId="29" borderId="8" applyNumberFormat="0" applyBorder="0" applyAlignment="0" applyProtection="0"/>
    <xf numFmtId="0" fontId="102" fillId="0" borderId="9" applyNumberFormat="0" applyFill="0" applyAlignment="0" applyProtection="0"/>
    <xf numFmtId="0" fontId="55" fillId="0" borderId="10">
      <alignment/>
      <protection/>
    </xf>
    <xf numFmtId="0" fontId="103" fillId="32" borderId="0" applyNumberFormat="0" applyBorder="0" applyAlignment="0" applyProtection="0"/>
    <xf numFmtId="210" fontId="56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33" borderId="11" applyNumberFormat="0" applyFont="0" applyAlignment="0" applyProtection="0"/>
    <xf numFmtId="211" fontId="57" fillId="0" borderId="0" applyFont="0" applyFill="0" applyBorder="0" applyProtection="0">
      <alignment vertical="top" wrapText="1"/>
    </xf>
    <xf numFmtId="0" fontId="6" fillId="0" borderId="0" applyFont="0" applyFill="0" applyBorder="0" applyAlignment="0" applyProtection="0"/>
    <xf numFmtId="0" fontId="35" fillId="0" borderId="0">
      <alignment/>
      <protection/>
    </xf>
    <xf numFmtId="0" fontId="105" fillId="26" borderId="12" applyNumberFormat="0" applyAlignment="0" applyProtection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202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6" fontId="42" fillId="0" borderId="0" applyFont="0" applyFill="0" applyBorder="0" applyAlignment="0" applyProtection="0"/>
    <xf numFmtId="201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6" fontId="42" fillId="0" borderId="0" applyFont="0" applyFill="0" applyBorder="0" applyAlignment="0" applyProtection="0"/>
    <xf numFmtId="201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5" fontId="42" fillId="0" borderId="0" applyFont="0" applyFill="0" applyBorder="0" applyAlignment="0" applyProtection="0"/>
    <xf numFmtId="190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4" fontId="58" fillId="0" borderId="0">
      <alignment/>
      <protection/>
    </xf>
    <xf numFmtId="0" fontId="55" fillId="0" borderId="0">
      <alignment/>
      <protection/>
    </xf>
    <xf numFmtId="0" fontId="59" fillId="0" borderId="0">
      <alignment/>
      <protection/>
    </xf>
    <xf numFmtId="212" fontId="60" fillId="0" borderId="13">
      <alignment horizontal="right" vertical="center"/>
      <protection/>
    </xf>
    <xf numFmtId="185" fontId="60" fillId="0" borderId="13">
      <alignment horizontal="center"/>
      <protection/>
    </xf>
    <xf numFmtId="0" fontId="106" fillId="0" borderId="0" applyNumberFormat="0" applyFill="0" applyBorder="0" applyAlignment="0" applyProtection="0"/>
    <xf numFmtId="0" fontId="107" fillId="0" borderId="14" applyNumberFormat="0" applyFill="0" applyAlignment="0" applyProtection="0"/>
    <xf numFmtId="0" fontId="10" fillId="0" borderId="15">
      <alignment horizontal="center"/>
      <protection/>
    </xf>
    <xf numFmtId="213" fontId="60" fillId="0" borderId="0">
      <alignment/>
      <protection/>
    </xf>
    <xf numFmtId="214" fontId="60" fillId="0" borderId="8">
      <alignment/>
      <protection/>
    </xf>
    <xf numFmtId="172" fontId="42" fillId="0" borderId="0" applyFont="0" applyFill="0" applyBorder="0" applyAlignment="0" applyProtection="0"/>
    <xf numFmtId="215" fontId="42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>
      <alignment/>
      <protection/>
    </xf>
    <xf numFmtId="18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17" fillId="0" borderId="0">
      <alignment/>
      <protection/>
    </xf>
    <xf numFmtId="0" fontId="15" fillId="0" borderId="0">
      <alignment/>
      <protection/>
    </xf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2" fontId="61" fillId="0" borderId="0" applyFont="0" applyFill="0" applyBorder="0" applyAlignment="0" applyProtection="0"/>
    <xf numFmtId="177" fontId="15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29" borderId="0" xfId="0" applyFill="1" applyBorder="1" applyAlignment="1">
      <alignment/>
    </xf>
    <xf numFmtId="0" fontId="29" fillId="29" borderId="16" xfId="437" applyFont="1" applyFill="1" applyBorder="1" applyAlignment="1">
      <alignment horizontal="left" vertical="center"/>
      <protection/>
    </xf>
    <xf numFmtId="0" fontId="20" fillId="29" borderId="0" xfId="437" applyFont="1" applyFill="1" applyBorder="1" applyAlignment="1">
      <alignment horizontal="left" vertical="center"/>
      <protection/>
    </xf>
    <xf numFmtId="0" fontId="20" fillId="29" borderId="17" xfId="437" applyFont="1" applyFill="1" applyBorder="1" applyAlignment="1">
      <alignment horizontal="left" vertical="center"/>
      <protection/>
    </xf>
    <xf numFmtId="0" fontId="29" fillId="29" borderId="18" xfId="437" applyFont="1" applyFill="1" applyBorder="1" applyAlignment="1">
      <alignment horizontal="left" vertical="center"/>
      <protection/>
    </xf>
    <xf numFmtId="0" fontId="20" fillId="29" borderId="19" xfId="437" applyFont="1" applyFill="1" applyBorder="1" applyAlignment="1">
      <alignment horizontal="left" vertical="center"/>
      <protection/>
    </xf>
    <xf numFmtId="0" fontId="20" fillId="29" borderId="20" xfId="437" applyFont="1" applyFill="1" applyBorder="1" applyAlignment="1">
      <alignment horizontal="left" vertical="center"/>
      <protection/>
    </xf>
    <xf numFmtId="0" fontId="19" fillId="29" borderId="0" xfId="437" applyFont="1" applyFill="1" applyBorder="1" applyAlignment="1">
      <alignment horizontal="left" vertical="center"/>
      <protection/>
    </xf>
    <xf numFmtId="0" fontId="30" fillId="29" borderId="0" xfId="437" applyFont="1" applyFill="1" applyBorder="1" applyAlignment="1">
      <alignment horizontal="left" vertical="center"/>
      <protection/>
    </xf>
    <xf numFmtId="0" fontId="20" fillId="29" borderId="16" xfId="437" applyFont="1" applyFill="1" applyBorder="1" applyAlignment="1">
      <alignment horizontal="left" vertical="center"/>
      <protection/>
    </xf>
    <xf numFmtId="0" fontId="21" fillId="29" borderId="21" xfId="0" applyFont="1" applyFill="1" applyBorder="1" applyAlignment="1">
      <alignment/>
    </xf>
    <xf numFmtId="0" fontId="21" fillId="29" borderId="22" xfId="0" applyFont="1" applyFill="1" applyBorder="1" applyAlignment="1">
      <alignment/>
    </xf>
    <xf numFmtId="0" fontId="21" fillId="29" borderId="23" xfId="0" applyFont="1" applyFill="1" applyBorder="1" applyAlignment="1">
      <alignment/>
    </xf>
    <xf numFmtId="0" fontId="19" fillId="29" borderId="19" xfId="437" applyFont="1" applyFill="1" applyBorder="1" applyAlignment="1">
      <alignment horizontal="left" vertical="center"/>
      <protection/>
    </xf>
    <xf numFmtId="0" fontId="20" fillId="29" borderId="0" xfId="437" applyFont="1" applyFill="1" applyBorder="1" applyAlignment="1">
      <alignment horizontal="right" vertical="center"/>
      <protection/>
    </xf>
    <xf numFmtId="0" fontId="26" fillId="29" borderId="0" xfId="437" applyFont="1" applyFill="1" applyBorder="1" applyAlignment="1">
      <alignment horizontal="center" vertical="center"/>
      <protection/>
    </xf>
    <xf numFmtId="0" fontId="26" fillId="29" borderId="0" xfId="437" applyFont="1" applyFill="1" applyBorder="1" applyAlignment="1">
      <alignment horizontal="left" vertical="center"/>
      <protection/>
    </xf>
    <xf numFmtId="2" fontId="27" fillId="29" borderId="0" xfId="437" applyNumberFormat="1" applyFont="1" applyFill="1" applyBorder="1" applyAlignment="1">
      <alignment horizontal="right" vertical="center"/>
      <protection/>
    </xf>
    <xf numFmtId="0" fontId="27" fillId="29" borderId="0" xfId="437" applyFont="1" applyFill="1" applyBorder="1" applyAlignment="1">
      <alignment horizontal="right" vertical="center"/>
      <protection/>
    </xf>
    <xf numFmtId="2" fontId="4" fillId="29" borderId="0" xfId="0" applyNumberFormat="1" applyFont="1" applyFill="1" applyBorder="1" applyAlignment="1">
      <alignment/>
    </xf>
    <xf numFmtId="174" fontId="5" fillId="29" borderId="0" xfId="0" applyNumberFormat="1" applyFont="1" applyFill="1" applyBorder="1" applyAlignment="1">
      <alignment/>
    </xf>
    <xf numFmtId="0" fontId="27" fillId="29" borderId="0" xfId="437" applyFont="1" applyFill="1" applyBorder="1" applyAlignment="1">
      <alignment horizontal="left" vertical="center"/>
      <protection/>
    </xf>
    <xf numFmtId="0" fontId="3" fillId="29" borderId="0" xfId="0" applyFont="1" applyFill="1" applyBorder="1" applyAlignment="1">
      <alignment/>
    </xf>
    <xf numFmtId="0" fontId="4" fillId="0" borderId="0" xfId="0" applyFont="1" applyBorder="1" applyAlignment="1">
      <alignment/>
    </xf>
    <xf numFmtId="2" fontId="27" fillId="34" borderId="0" xfId="437" applyNumberFormat="1" applyFont="1" applyFill="1" applyBorder="1" applyAlignment="1">
      <alignment horizontal="left" vertical="center"/>
      <protection/>
    </xf>
    <xf numFmtId="172" fontId="27" fillId="29" borderId="0" xfId="437" applyNumberFormat="1" applyFont="1" applyFill="1" applyBorder="1" applyAlignment="1">
      <alignment horizontal="left" vertical="center"/>
      <protection/>
    </xf>
    <xf numFmtId="218" fontId="0" fillId="0" borderId="0" xfId="0" applyNumberFormat="1" applyAlignment="1">
      <alignment/>
    </xf>
    <xf numFmtId="1" fontId="20" fillId="29" borderId="0" xfId="437" applyNumberFormat="1" applyFont="1" applyFill="1" applyBorder="1" applyAlignment="1">
      <alignment horizontal="left" vertical="center"/>
      <protection/>
    </xf>
    <xf numFmtId="0" fontId="109" fillId="29" borderId="0" xfId="437" applyFont="1" applyFill="1" applyBorder="1" applyAlignment="1">
      <alignment horizontal="left" vertical="center"/>
      <protection/>
    </xf>
    <xf numFmtId="0" fontId="110" fillId="0" borderId="0" xfId="344" applyFont="1" applyAlignment="1">
      <alignment horizontal="center" vertical="center" wrapText="1"/>
      <protection/>
    </xf>
    <xf numFmtId="0" fontId="2" fillId="0" borderId="0" xfId="344" applyFont="1" applyAlignment="1">
      <alignment horizontal="center" vertical="center"/>
      <protection/>
    </xf>
    <xf numFmtId="0" fontId="2" fillId="0" borderId="0" xfId="344" applyFont="1" applyAlignment="1">
      <alignment horizontal="left" vertical="center"/>
      <protection/>
    </xf>
    <xf numFmtId="0" fontId="111" fillId="0" borderId="8" xfId="344" applyFont="1" applyBorder="1" applyAlignment="1">
      <alignment horizontal="center" vertical="center"/>
      <protection/>
    </xf>
    <xf numFmtId="0" fontId="112" fillId="0" borderId="8" xfId="344" applyFont="1" applyBorder="1" applyAlignment="1">
      <alignment horizontal="center" vertical="center"/>
      <protection/>
    </xf>
    <xf numFmtId="0" fontId="27" fillId="35" borderId="8" xfId="344" applyFont="1" applyFill="1" applyBorder="1" applyAlignment="1">
      <alignment horizontal="left" vertical="center"/>
      <protection/>
    </xf>
    <xf numFmtId="0" fontId="20" fillId="35" borderId="8" xfId="344" applyFont="1" applyFill="1" applyBorder="1" applyAlignment="1">
      <alignment horizontal="center" vertical="center"/>
      <protection/>
    </xf>
    <xf numFmtId="220" fontId="20" fillId="35" borderId="8" xfId="344" applyNumberFormat="1" applyFont="1" applyFill="1" applyBorder="1" applyAlignment="1">
      <alignment horizontal="center" vertical="center"/>
      <protection/>
    </xf>
    <xf numFmtId="0" fontId="27" fillId="6" borderId="8" xfId="344" applyFont="1" applyFill="1" applyBorder="1" applyAlignment="1">
      <alignment horizontal="left" vertical="center"/>
      <protection/>
    </xf>
    <xf numFmtId="0" fontId="20" fillId="6" borderId="8" xfId="344" applyFont="1" applyFill="1" applyBorder="1" applyAlignment="1">
      <alignment horizontal="center" vertical="center"/>
      <protection/>
    </xf>
    <xf numFmtId="220" fontId="20" fillId="6" borderId="8" xfId="344" applyNumberFormat="1" applyFont="1" applyFill="1" applyBorder="1" applyAlignment="1">
      <alignment horizontal="center" vertical="center"/>
      <protection/>
    </xf>
    <xf numFmtId="0" fontId="111" fillId="0" borderId="24" xfId="344" applyFont="1" applyBorder="1" applyAlignment="1">
      <alignment horizontal="center" vertical="center" wrapText="1"/>
      <protection/>
    </xf>
    <xf numFmtId="0" fontId="112" fillId="13" borderId="8" xfId="344" applyFont="1" applyFill="1" applyBorder="1" applyAlignment="1">
      <alignment horizontal="center" vertical="center"/>
      <protection/>
    </xf>
    <xf numFmtId="0" fontId="113" fillId="13" borderId="8" xfId="344" applyFont="1" applyFill="1" applyBorder="1" applyAlignment="1">
      <alignment horizontal="center" vertical="center"/>
      <protection/>
    </xf>
    <xf numFmtId="0" fontId="2" fillId="0" borderId="8" xfId="344" applyFont="1" applyBorder="1" applyAlignment="1">
      <alignment horizontal="left" vertical="center"/>
      <protection/>
    </xf>
    <xf numFmtId="0" fontId="2" fillId="0" borderId="8" xfId="344" applyFont="1" applyBorder="1" applyAlignment="1">
      <alignment horizontal="center" vertical="center"/>
      <protection/>
    </xf>
    <xf numFmtId="0" fontId="108" fillId="0" borderId="8" xfId="344" applyFont="1" applyBorder="1" applyAlignment="1">
      <alignment horizontal="center" vertical="center"/>
      <protection/>
    </xf>
    <xf numFmtId="0" fontId="114" fillId="0" borderId="8" xfId="344" applyFont="1" applyBorder="1" applyAlignment="1">
      <alignment horizontal="center" vertical="center"/>
      <protection/>
    </xf>
    <xf numFmtId="0" fontId="111" fillId="0" borderId="25" xfId="344" applyFont="1" applyBorder="1" applyAlignment="1">
      <alignment horizontal="center" vertical="center" wrapText="1"/>
      <protection/>
    </xf>
    <xf numFmtId="0" fontId="111" fillId="0" borderId="26" xfId="344" applyFont="1" applyBorder="1" applyAlignment="1">
      <alignment horizontal="center" vertical="center" wrapText="1"/>
      <protection/>
    </xf>
    <xf numFmtId="0" fontId="111" fillId="0" borderId="27" xfId="344" applyFont="1" applyBorder="1" applyAlignment="1">
      <alignment horizontal="center" vertical="center" wrapText="1"/>
      <protection/>
    </xf>
    <xf numFmtId="0" fontId="5" fillId="0" borderId="25" xfId="344" applyFont="1" applyBorder="1" applyAlignment="1">
      <alignment horizontal="center" vertical="center" wrapText="1"/>
      <protection/>
    </xf>
    <xf numFmtId="0" fontId="111" fillId="0" borderId="8" xfId="344" applyFont="1" applyBorder="1" applyAlignment="1">
      <alignment horizontal="center" vertical="center" wrapText="1"/>
      <protection/>
    </xf>
    <xf numFmtId="0" fontId="2" fillId="0" borderId="0" xfId="344" applyFont="1" applyAlignment="1">
      <alignment horizontal="center" vertical="center"/>
      <protection/>
    </xf>
    <xf numFmtId="0" fontId="2" fillId="0" borderId="28" xfId="344" applyFont="1" applyBorder="1" applyAlignment="1">
      <alignment horizontal="center" vertical="center"/>
      <protection/>
    </xf>
    <xf numFmtId="0" fontId="110" fillId="0" borderId="0" xfId="344" applyFont="1" applyAlignment="1">
      <alignment horizontal="center" vertical="center" wrapText="1"/>
      <protection/>
    </xf>
    <xf numFmtId="0" fontId="113" fillId="0" borderId="8" xfId="344" applyFont="1" applyBorder="1" applyAlignment="1">
      <alignment horizontal="center" vertical="center" wrapText="1"/>
      <protection/>
    </xf>
    <xf numFmtId="0" fontId="113" fillId="0" borderId="29" xfId="344" applyFont="1" applyBorder="1" applyAlignment="1">
      <alignment horizontal="center" vertical="center" wrapText="1"/>
      <protection/>
    </xf>
    <xf numFmtId="0" fontId="113" fillId="0" borderId="24" xfId="344" applyFont="1" applyBorder="1" applyAlignment="1">
      <alignment horizontal="center" vertical="center" wrapText="1"/>
      <protection/>
    </xf>
    <xf numFmtId="0" fontId="111" fillId="0" borderId="25" xfId="344" applyFont="1" applyBorder="1" applyAlignment="1">
      <alignment horizontal="center" vertical="center"/>
      <protection/>
    </xf>
    <xf numFmtId="0" fontId="111" fillId="0" borderId="26" xfId="344" applyFont="1" applyBorder="1" applyAlignment="1">
      <alignment horizontal="center" vertical="center"/>
      <protection/>
    </xf>
    <xf numFmtId="0" fontId="111" fillId="0" borderId="27" xfId="344" applyFont="1" applyBorder="1" applyAlignment="1">
      <alignment horizontal="center" vertical="center"/>
      <protection/>
    </xf>
    <xf numFmtId="0" fontId="111" fillId="0" borderId="29" xfId="344" applyFont="1" applyBorder="1" applyAlignment="1">
      <alignment horizontal="center" vertical="center" wrapText="1"/>
      <protection/>
    </xf>
    <xf numFmtId="0" fontId="111" fillId="0" borderId="24" xfId="344" applyFont="1" applyBorder="1" applyAlignment="1">
      <alignment horizontal="center" vertical="center" wrapText="1"/>
      <protection/>
    </xf>
    <xf numFmtId="0" fontId="38" fillId="29" borderId="0" xfId="0" applyFont="1" applyFill="1" applyBorder="1" applyAlignment="1">
      <alignment vertical="center"/>
    </xf>
    <xf numFmtId="0" fontId="23" fillId="0" borderId="30" xfId="438" applyFont="1" applyFill="1" applyBorder="1" applyAlignment="1">
      <alignment horizontal="center" vertical="center"/>
      <protection/>
    </xf>
    <xf numFmtId="0" fontId="23" fillId="0" borderId="31" xfId="438" applyFont="1" applyFill="1" applyBorder="1" applyAlignment="1">
      <alignment horizontal="center" vertical="center"/>
      <protection/>
    </xf>
    <xf numFmtId="0" fontId="23" fillId="0" borderId="32" xfId="438" applyFont="1" applyFill="1" applyBorder="1" applyAlignment="1">
      <alignment horizontal="center" vertical="center"/>
      <protection/>
    </xf>
    <xf numFmtId="0" fontId="21" fillId="29" borderId="16" xfId="0" applyFont="1" applyFill="1" applyBorder="1" applyAlignment="1">
      <alignment/>
    </xf>
    <xf numFmtId="0" fontId="19" fillId="29" borderId="17" xfId="437" applyFont="1" applyFill="1" applyBorder="1" applyAlignment="1">
      <alignment horizontal="left" vertical="center"/>
      <protection/>
    </xf>
    <xf numFmtId="0" fontId="0" fillId="29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9" fillId="29" borderId="16" xfId="437" applyFont="1" applyFill="1" applyBorder="1" applyAlignment="1">
      <alignment horizontal="left" vertical="center"/>
      <protection/>
    </xf>
    <xf numFmtId="0" fontId="115" fillId="29" borderId="19" xfId="437" applyFont="1" applyFill="1" applyBorder="1" applyAlignment="1">
      <alignment horizontal="left" vertical="center"/>
      <protection/>
    </xf>
    <xf numFmtId="0" fontId="39" fillId="29" borderId="19" xfId="437" applyFont="1" applyFill="1" applyBorder="1" applyAlignment="1">
      <alignment horizontal="left" vertical="center"/>
      <protection/>
    </xf>
    <xf numFmtId="0" fontId="21" fillId="29" borderId="17" xfId="0" applyFont="1" applyFill="1" applyBorder="1" applyAlignment="1">
      <alignment/>
    </xf>
    <xf numFmtId="0" fontId="34" fillId="29" borderId="0" xfId="437" applyFont="1" applyFill="1" applyBorder="1" applyAlignment="1">
      <alignment horizontal="left" vertical="center"/>
      <protection/>
    </xf>
    <xf numFmtId="172" fontId="20" fillId="29" borderId="0" xfId="437" applyNumberFormat="1" applyFont="1" applyFill="1" applyBorder="1" applyAlignment="1">
      <alignment horizontal="center" vertical="center"/>
      <protection/>
    </xf>
    <xf numFmtId="0" fontId="22" fillId="29" borderId="0" xfId="0" applyFont="1" applyFill="1" applyBorder="1" applyAlignment="1">
      <alignment/>
    </xf>
    <xf numFmtId="0" fontId="37" fillId="29" borderId="0" xfId="0" applyFont="1" applyFill="1" applyBorder="1" applyAlignment="1">
      <alignment/>
    </xf>
    <xf numFmtId="0" fontId="5" fillId="29" borderId="0" xfId="0" applyFont="1" applyFill="1" applyBorder="1" applyAlignment="1">
      <alignment/>
    </xf>
    <xf numFmtId="0" fontId="4" fillId="29" borderId="0" xfId="0" applyFont="1" applyFill="1" applyBorder="1" applyAlignment="1">
      <alignment/>
    </xf>
    <xf numFmtId="0" fontId="31" fillId="29" borderId="0" xfId="0" applyFont="1" applyFill="1" applyBorder="1" applyAlignment="1">
      <alignment/>
    </xf>
    <xf numFmtId="0" fontId="21" fillId="29" borderId="0" xfId="0" applyFont="1" applyFill="1" applyBorder="1" applyAlignment="1">
      <alignment/>
    </xf>
    <xf numFmtId="0" fontId="24" fillId="0" borderId="33" xfId="438" applyFont="1" applyFill="1" applyBorder="1" applyAlignment="1">
      <alignment horizontal="center" vertical="center"/>
      <protection/>
    </xf>
    <xf numFmtId="0" fontId="24" fillId="0" borderId="0" xfId="438" applyFont="1" applyFill="1" applyBorder="1" applyAlignment="1">
      <alignment horizontal="center" vertical="center"/>
      <protection/>
    </xf>
    <xf numFmtId="0" fontId="5" fillId="0" borderId="0" xfId="438" applyFont="1" applyFill="1" applyBorder="1" applyAlignment="1">
      <alignment horizontal="center" vertical="center"/>
      <protection/>
    </xf>
    <xf numFmtId="0" fontId="5" fillId="0" borderId="34" xfId="438" applyFont="1" applyFill="1" applyBorder="1" applyAlignment="1">
      <alignment horizontal="center" vertical="center"/>
      <protection/>
    </xf>
    <xf numFmtId="0" fontId="24" fillId="0" borderId="35" xfId="438" applyFont="1" applyFill="1" applyBorder="1" applyAlignment="1">
      <alignment horizontal="center" vertical="center"/>
      <protection/>
    </xf>
    <xf numFmtId="0" fontId="24" fillId="0" borderId="36" xfId="438" applyFont="1" applyFill="1" applyBorder="1" applyAlignment="1">
      <alignment horizontal="center" vertical="center"/>
      <protection/>
    </xf>
    <xf numFmtId="0" fontId="25" fillId="0" borderId="36" xfId="438" applyFont="1" applyFill="1" applyBorder="1" applyAlignment="1">
      <alignment horizontal="center" vertical="center"/>
      <protection/>
    </xf>
    <xf numFmtId="0" fontId="25" fillId="0" borderId="37" xfId="438" applyFont="1" applyFill="1" applyBorder="1" applyAlignment="1">
      <alignment horizontal="center" vertical="center"/>
      <protection/>
    </xf>
    <xf numFmtId="0" fontId="24" fillId="0" borderId="38" xfId="438" applyFont="1" applyFill="1" applyBorder="1" applyAlignment="1">
      <alignment horizontal="center" vertical="center"/>
      <protection/>
    </xf>
    <xf numFmtId="0" fontId="24" fillId="0" borderId="39" xfId="438" applyFont="1" applyFill="1" applyBorder="1" applyAlignment="1">
      <alignment horizontal="center" vertical="center"/>
      <protection/>
    </xf>
    <xf numFmtId="0" fontId="25" fillId="0" borderId="39" xfId="438" applyFont="1" applyFill="1" applyBorder="1" applyAlignment="1">
      <alignment horizontal="center" vertical="center"/>
      <protection/>
    </xf>
    <xf numFmtId="0" fontId="25" fillId="0" borderId="40" xfId="438" applyFont="1" applyFill="1" applyBorder="1" applyAlignment="1">
      <alignment horizontal="center" vertical="center"/>
      <protection/>
    </xf>
    <xf numFmtId="0" fontId="25" fillId="0" borderId="41" xfId="438" applyFont="1" applyFill="1" applyBorder="1" applyAlignment="1">
      <alignment horizontal="center" vertical="center"/>
      <protection/>
    </xf>
    <xf numFmtId="0" fontId="25" fillId="0" borderId="42" xfId="438" applyFont="1" applyFill="1" applyBorder="1" applyAlignment="1">
      <alignment horizontal="center" vertical="center"/>
      <protection/>
    </xf>
    <xf numFmtId="0" fontId="24" fillId="0" borderId="43" xfId="438" applyFont="1" applyFill="1" applyBorder="1" applyAlignment="1">
      <alignment horizontal="center" vertical="center"/>
      <protection/>
    </xf>
    <xf numFmtId="0" fontId="24" fillId="0" borderId="44" xfId="438" applyFont="1" applyFill="1" applyBorder="1" applyAlignment="1">
      <alignment horizontal="center" vertical="center"/>
      <protection/>
    </xf>
    <xf numFmtId="0" fontId="25" fillId="0" borderId="0" xfId="438" applyFont="1" applyFill="1" applyBorder="1" applyAlignment="1">
      <alignment horizontal="center" vertical="center"/>
      <protection/>
    </xf>
    <xf numFmtId="0" fontId="25" fillId="0" borderId="34" xfId="438" applyFont="1" applyFill="1" applyBorder="1" applyAlignment="1">
      <alignment horizontal="center" vertical="center"/>
      <protection/>
    </xf>
    <xf numFmtId="0" fontId="24" fillId="0" borderId="45" xfId="438" applyFont="1" applyFill="1" applyBorder="1" applyAlignment="1">
      <alignment horizontal="center" vertical="center"/>
      <protection/>
    </xf>
    <xf numFmtId="0" fontId="24" fillId="0" borderId="19" xfId="438" applyFont="1" applyFill="1" applyBorder="1" applyAlignment="1">
      <alignment horizontal="center" vertical="center"/>
      <protection/>
    </xf>
    <xf numFmtId="0" fontId="25" fillId="0" borderId="19" xfId="438" applyFont="1" applyFill="1" applyBorder="1" applyAlignment="1">
      <alignment horizontal="center" vertical="center"/>
      <protection/>
    </xf>
    <xf numFmtId="0" fontId="25" fillId="0" borderId="46" xfId="438" applyFont="1" applyFill="1" applyBorder="1" applyAlignment="1">
      <alignment horizontal="center" vertical="center"/>
      <protection/>
    </xf>
  </cellXfs>
  <cellStyles count="511">
    <cellStyle name="Normal" xfId="0"/>
    <cellStyle name="_x0001_" xfId="15"/>
    <cellStyle name="??" xfId="16"/>
    <cellStyle name="?? [0.00]_List-dwg" xfId="17"/>
    <cellStyle name="?? [0]_ ??? ???? " xfId="18"/>
    <cellStyle name="?_x001D_??%U©÷u&amp;H©÷9_x0008_? s&#10;_x0007__x0001__x0001_" xfId="19"/>
    <cellStyle name="???? [0.00]_List-dwg" xfId="20"/>
    <cellStyle name="????_List-dwg" xfId="21"/>
    <cellStyle name="???[0]_Book1" xfId="22"/>
    <cellStyle name="???_95" xfId="23"/>
    <cellStyle name="??_ ??? ???? " xfId="24"/>
    <cellStyle name="??A? [0]_ÿÿÿÿÿÿ_1_¢¬???¢â? " xfId="25"/>
    <cellStyle name="??A?_ÿÿÿÿÿÿ_1_¢¬???¢â? " xfId="26"/>
    <cellStyle name="?¡±¢¥?_?¨ù??¢´¢¥_¢¬???¢â? " xfId="27"/>
    <cellStyle name="?ðÇ%U?&amp;H?_x0008_?s&#10;_x0007__x0001__x0001_" xfId="28"/>
    <cellStyle name="_Book1" xfId="29"/>
    <cellStyle name="_Book1_1" xfId="30"/>
    <cellStyle name="_Book1_BC-QT-WB-dthao" xfId="31"/>
    <cellStyle name="_KT (2)" xfId="32"/>
    <cellStyle name="_KT (2)_1" xfId="33"/>
    <cellStyle name="_KT (2)_1_Lora-tungchau" xfId="34"/>
    <cellStyle name="_KT (2)_1_Qt-HT3PQ1(CauKho)" xfId="35"/>
    <cellStyle name="_KT (2)_2" xfId="36"/>
    <cellStyle name="_KT (2)_2_TG-TH" xfId="37"/>
    <cellStyle name="_KT (2)_2_TG-TH_BAO CAO KLCT PT2000" xfId="38"/>
    <cellStyle name="_KT (2)_2_TG-TH_BAO CAO PT2000" xfId="39"/>
    <cellStyle name="_KT (2)_2_TG-TH_BAO CAO PT2000_Book1" xfId="40"/>
    <cellStyle name="_KT (2)_2_TG-TH_Bao cao XDCB 2001 - T11 KH dieu chinh 20-11-THAI" xfId="41"/>
    <cellStyle name="_KT (2)_2_TG-TH_Book1" xfId="42"/>
    <cellStyle name="_KT (2)_2_TG-TH_Book1_1" xfId="43"/>
    <cellStyle name="_KT (2)_2_TG-TH_Book1_2" xfId="44"/>
    <cellStyle name="_KT (2)_2_TG-TH_Book1_3" xfId="45"/>
    <cellStyle name="_KT (2)_2_TG-TH_Book1_4" xfId="46"/>
    <cellStyle name="_KT (2)_2_TG-TH_DTCDT MR.2N110.HOCMON.TDTOAN.CCUNG" xfId="47"/>
    <cellStyle name="_KT (2)_2_TG-TH_Lora-tungchau" xfId="48"/>
    <cellStyle name="_KT (2)_2_TG-TH_PGIA-phieu tham tra Kho bac" xfId="49"/>
    <cellStyle name="_KT (2)_2_TG-TH_PT02-02" xfId="50"/>
    <cellStyle name="_KT (2)_2_TG-TH_PT02-02_Book1" xfId="51"/>
    <cellStyle name="_KT (2)_2_TG-TH_PT02-03" xfId="52"/>
    <cellStyle name="_KT (2)_2_TG-TH_PT02-03_Book1" xfId="53"/>
    <cellStyle name="_KT (2)_2_TG-TH_Qt-HT3PQ1(CauKho)" xfId="54"/>
    <cellStyle name="_KT (2)_3" xfId="55"/>
    <cellStyle name="_KT (2)_3_TG-TH" xfId="56"/>
    <cellStyle name="_KT (2)_3_TG-TH_Book1" xfId="57"/>
    <cellStyle name="_KT (2)_3_TG-TH_Book1_1" xfId="58"/>
    <cellStyle name="_KT (2)_3_TG-TH_Book1_BC-QT-WB-dthao" xfId="59"/>
    <cellStyle name="_KT (2)_3_TG-TH_Lora-tungchau" xfId="60"/>
    <cellStyle name="_KT (2)_3_TG-TH_PERSONAL" xfId="61"/>
    <cellStyle name="_KT (2)_3_TG-TH_PERSONAL_HTQ.8 GD1" xfId="62"/>
    <cellStyle name="_KT (2)_3_TG-TH_PERSONAL_Tong hop KHCB 2001" xfId="63"/>
    <cellStyle name="_KT (2)_3_TG-TH_Qt-HT3PQ1(CauKho)" xfId="64"/>
    <cellStyle name="_KT (2)_4" xfId="65"/>
    <cellStyle name="_KT (2)_4_BAO CAO KLCT PT2000" xfId="66"/>
    <cellStyle name="_KT (2)_4_BAO CAO PT2000" xfId="67"/>
    <cellStyle name="_KT (2)_4_BAO CAO PT2000_Book1" xfId="68"/>
    <cellStyle name="_KT (2)_4_Bao cao XDCB 2001 - T11 KH dieu chinh 20-11-THAI" xfId="69"/>
    <cellStyle name="_KT (2)_4_Book1" xfId="70"/>
    <cellStyle name="_KT (2)_4_Book1_1" xfId="71"/>
    <cellStyle name="_KT (2)_4_Book1_2" xfId="72"/>
    <cellStyle name="_KT (2)_4_Book1_3" xfId="73"/>
    <cellStyle name="_KT (2)_4_Book1_4" xfId="74"/>
    <cellStyle name="_KT (2)_4_DTCDT MR.2N110.HOCMON.TDTOAN.CCUNG" xfId="75"/>
    <cellStyle name="_KT (2)_4_Lora-tungchau" xfId="76"/>
    <cellStyle name="_KT (2)_4_PGIA-phieu tham tra Kho bac" xfId="77"/>
    <cellStyle name="_KT (2)_4_PT02-02" xfId="78"/>
    <cellStyle name="_KT (2)_4_PT02-02_Book1" xfId="79"/>
    <cellStyle name="_KT (2)_4_PT02-03" xfId="80"/>
    <cellStyle name="_KT (2)_4_PT02-03_Book1" xfId="81"/>
    <cellStyle name="_KT (2)_4_Qt-HT3PQ1(CauKho)" xfId="82"/>
    <cellStyle name="_KT (2)_4_TG-TH" xfId="83"/>
    <cellStyle name="_KT (2)_5" xfId="84"/>
    <cellStyle name="_KT (2)_5_BAO CAO KLCT PT2000" xfId="85"/>
    <cellStyle name="_KT (2)_5_BAO CAO PT2000" xfId="86"/>
    <cellStyle name="_KT (2)_5_BAO CAO PT2000_Book1" xfId="87"/>
    <cellStyle name="_KT (2)_5_Bao cao XDCB 2001 - T11 KH dieu chinh 20-11-THAI" xfId="88"/>
    <cellStyle name="_KT (2)_5_Book1" xfId="89"/>
    <cellStyle name="_KT (2)_5_Book1_1" xfId="90"/>
    <cellStyle name="_KT (2)_5_Book1_2" xfId="91"/>
    <cellStyle name="_KT (2)_5_Book1_3" xfId="92"/>
    <cellStyle name="_KT (2)_5_Book1_4" xfId="93"/>
    <cellStyle name="_KT (2)_5_Book1_BC-QT-WB-dthao" xfId="94"/>
    <cellStyle name="_KT (2)_5_DTCDT MR.2N110.HOCMON.TDTOAN.CCUNG" xfId="95"/>
    <cellStyle name="_KT (2)_5_Lora-tungchau" xfId="96"/>
    <cellStyle name="_KT (2)_5_PGIA-phieu tham tra Kho bac" xfId="97"/>
    <cellStyle name="_KT (2)_5_PT02-02" xfId="98"/>
    <cellStyle name="_KT (2)_5_PT02-02_Book1" xfId="99"/>
    <cellStyle name="_KT (2)_5_PT02-03" xfId="100"/>
    <cellStyle name="_KT (2)_5_PT02-03_Book1" xfId="101"/>
    <cellStyle name="_KT (2)_5_Qt-HT3PQ1(CauKho)" xfId="102"/>
    <cellStyle name="_KT (2)_Book1" xfId="103"/>
    <cellStyle name="_KT (2)_Book1_1" xfId="104"/>
    <cellStyle name="_KT (2)_Book1_BC-QT-WB-dthao" xfId="105"/>
    <cellStyle name="_KT (2)_Lora-tungchau" xfId="106"/>
    <cellStyle name="_KT (2)_PERSONAL" xfId="107"/>
    <cellStyle name="_KT (2)_PERSONAL_HTQ.8 GD1" xfId="108"/>
    <cellStyle name="_KT (2)_PERSONAL_Tong hop KHCB 2001" xfId="109"/>
    <cellStyle name="_KT (2)_Qt-HT3PQ1(CauKho)" xfId="110"/>
    <cellStyle name="_KT (2)_TG-TH" xfId="111"/>
    <cellStyle name="_KT_TG" xfId="112"/>
    <cellStyle name="_KT_TG_1" xfId="113"/>
    <cellStyle name="_KT_TG_1_BAO CAO KLCT PT2000" xfId="114"/>
    <cellStyle name="_KT_TG_1_BAO CAO PT2000" xfId="115"/>
    <cellStyle name="_KT_TG_1_BAO CAO PT2000_Book1" xfId="116"/>
    <cellStyle name="_KT_TG_1_Bao cao XDCB 2001 - T11 KH dieu chinh 20-11-THAI" xfId="117"/>
    <cellStyle name="_KT_TG_1_Book1" xfId="118"/>
    <cellStyle name="_KT_TG_1_Book1_1" xfId="119"/>
    <cellStyle name="_KT_TG_1_Book1_2" xfId="120"/>
    <cellStyle name="_KT_TG_1_Book1_3" xfId="121"/>
    <cellStyle name="_KT_TG_1_Book1_4" xfId="122"/>
    <cellStyle name="_KT_TG_1_Book1_BC-QT-WB-dthao" xfId="123"/>
    <cellStyle name="_KT_TG_1_DTCDT MR.2N110.HOCMON.TDTOAN.CCUNG" xfId="124"/>
    <cellStyle name="_KT_TG_1_Lora-tungchau" xfId="125"/>
    <cellStyle name="_KT_TG_1_PGIA-phieu tham tra Kho bac" xfId="126"/>
    <cellStyle name="_KT_TG_1_PT02-02" xfId="127"/>
    <cellStyle name="_KT_TG_1_PT02-02_Book1" xfId="128"/>
    <cellStyle name="_KT_TG_1_PT02-03" xfId="129"/>
    <cellStyle name="_KT_TG_1_PT02-03_Book1" xfId="130"/>
    <cellStyle name="_KT_TG_1_Qt-HT3PQ1(CauKho)" xfId="131"/>
    <cellStyle name="_KT_TG_2" xfId="132"/>
    <cellStyle name="_KT_TG_2_BAO CAO KLCT PT2000" xfId="133"/>
    <cellStyle name="_KT_TG_2_BAO CAO PT2000" xfId="134"/>
    <cellStyle name="_KT_TG_2_BAO CAO PT2000_Book1" xfId="135"/>
    <cellStyle name="_KT_TG_2_Bao cao XDCB 2001 - T11 KH dieu chinh 20-11-THAI" xfId="136"/>
    <cellStyle name="_KT_TG_2_Book1" xfId="137"/>
    <cellStyle name="_KT_TG_2_Book1_1" xfId="138"/>
    <cellStyle name="_KT_TG_2_Book1_2" xfId="139"/>
    <cellStyle name="_KT_TG_2_Book1_3" xfId="140"/>
    <cellStyle name="_KT_TG_2_Book1_4" xfId="141"/>
    <cellStyle name="_KT_TG_2_DTCDT MR.2N110.HOCMON.TDTOAN.CCUNG" xfId="142"/>
    <cellStyle name="_KT_TG_2_Lora-tungchau" xfId="143"/>
    <cellStyle name="_KT_TG_2_PGIA-phieu tham tra Kho bac" xfId="144"/>
    <cellStyle name="_KT_TG_2_PT02-02" xfId="145"/>
    <cellStyle name="_KT_TG_2_PT02-02_Book1" xfId="146"/>
    <cellStyle name="_KT_TG_2_PT02-03" xfId="147"/>
    <cellStyle name="_KT_TG_2_PT02-03_Book1" xfId="148"/>
    <cellStyle name="_KT_TG_2_Qt-HT3PQ1(CauKho)" xfId="149"/>
    <cellStyle name="_KT_TG_3" xfId="150"/>
    <cellStyle name="_KT_TG_4" xfId="151"/>
    <cellStyle name="_KT_TG_4_Lora-tungchau" xfId="152"/>
    <cellStyle name="_KT_TG_4_Qt-HT3PQ1(CauKho)" xfId="153"/>
    <cellStyle name="_Lora-tungchau" xfId="154"/>
    <cellStyle name="_PERSONAL" xfId="155"/>
    <cellStyle name="_PERSONAL_HTQ.8 GD1" xfId="156"/>
    <cellStyle name="_PERSONAL_Tong hop KHCB 2001" xfId="157"/>
    <cellStyle name="_Qt-HT3PQ1(CauKho)" xfId="158"/>
    <cellStyle name="_TG-TH" xfId="159"/>
    <cellStyle name="_TG-TH_1" xfId="160"/>
    <cellStyle name="_TG-TH_1_BAO CAO KLCT PT2000" xfId="161"/>
    <cellStyle name="_TG-TH_1_BAO CAO PT2000" xfId="162"/>
    <cellStyle name="_TG-TH_1_BAO CAO PT2000_Book1" xfId="163"/>
    <cellStyle name="_TG-TH_1_Bao cao XDCB 2001 - T11 KH dieu chinh 20-11-THAI" xfId="164"/>
    <cellStyle name="_TG-TH_1_Book1" xfId="165"/>
    <cellStyle name="_TG-TH_1_Book1_1" xfId="166"/>
    <cellStyle name="_TG-TH_1_Book1_2" xfId="167"/>
    <cellStyle name="_TG-TH_1_Book1_3" xfId="168"/>
    <cellStyle name="_TG-TH_1_Book1_4" xfId="169"/>
    <cellStyle name="_TG-TH_1_Book1_BC-QT-WB-dthao" xfId="170"/>
    <cellStyle name="_TG-TH_1_DTCDT MR.2N110.HOCMON.TDTOAN.CCUNG" xfId="171"/>
    <cellStyle name="_TG-TH_1_Lora-tungchau" xfId="172"/>
    <cellStyle name="_TG-TH_1_PGIA-phieu tham tra Kho bac" xfId="173"/>
    <cellStyle name="_TG-TH_1_PT02-02" xfId="174"/>
    <cellStyle name="_TG-TH_1_PT02-02_Book1" xfId="175"/>
    <cellStyle name="_TG-TH_1_PT02-03" xfId="176"/>
    <cellStyle name="_TG-TH_1_PT02-03_Book1" xfId="177"/>
    <cellStyle name="_TG-TH_1_Qt-HT3PQ1(CauKho)" xfId="178"/>
    <cellStyle name="_TG-TH_2" xfId="179"/>
    <cellStyle name="_TG-TH_2_BAO CAO KLCT PT2000" xfId="180"/>
    <cellStyle name="_TG-TH_2_BAO CAO PT2000" xfId="181"/>
    <cellStyle name="_TG-TH_2_BAO CAO PT2000_Book1" xfId="182"/>
    <cellStyle name="_TG-TH_2_Bao cao XDCB 2001 - T11 KH dieu chinh 20-11-THAI" xfId="183"/>
    <cellStyle name="_TG-TH_2_Book1" xfId="184"/>
    <cellStyle name="_TG-TH_2_Book1_1" xfId="185"/>
    <cellStyle name="_TG-TH_2_Book1_2" xfId="186"/>
    <cellStyle name="_TG-TH_2_Book1_3" xfId="187"/>
    <cellStyle name="_TG-TH_2_Book1_4" xfId="188"/>
    <cellStyle name="_TG-TH_2_DTCDT MR.2N110.HOCMON.TDTOAN.CCUNG" xfId="189"/>
    <cellStyle name="_TG-TH_2_Lora-tungchau" xfId="190"/>
    <cellStyle name="_TG-TH_2_PGIA-phieu tham tra Kho bac" xfId="191"/>
    <cellStyle name="_TG-TH_2_PT02-02" xfId="192"/>
    <cellStyle name="_TG-TH_2_PT02-02_Book1" xfId="193"/>
    <cellStyle name="_TG-TH_2_PT02-03" xfId="194"/>
    <cellStyle name="_TG-TH_2_PT02-03_Book1" xfId="195"/>
    <cellStyle name="_TG-TH_2_Qt-HT3PQ1(CauKho)" xfId="196"/>
    <cellStyle name="_TG-TH_3" xfId="197"/>
    <cellStyle name="_TG-TH_3_Lora-tungchau" xfId="198"/>
    <cellStyle name="_TG-TH_3_Qt-HT3PQ1(CauKho)" xfId="199"/>
    <cellStyle name="_TG-TH_4" xfId="200"/>
    <cellStyle name="•W€_STDFOR" xfId="201"/>
    <cellStyle name="¹éºÐÀ²_      " xfId="202"/>
    <cellStyle name="20% - Accent1" xfId="203"/>
    <cellStyle name="20% - Accent2" xfId="204"/>
    <cellStyle name="20% - Accent3" xfId="205"/>
    <cellStyle name="20% - Accent4" xfId="206"/>
    <cellStyle name="20% - Accent5" xfId="207"/>
    <cellStyle name="20% - Accent6" xfId="208"/>
    <cellStyle name="40% - Accent1" xfId="209"/>
    <cellStyle name="40% - Accent2" xfId="210"/>
    <cellStyle name="40% - Accent3" xfId="211"/>
    <cellStyle name="40% - Accent4" xfId="212"/>
    <cellStyle name="40% - Accent5" xfId="213"/>
    <cellStyle name="40% - Accent6" xfId="214"/>
    <cellStyle name="60% - Accent1" xfId="215"/>
    <cellStyle name="60% - Accent2" xfId="216"/>
    <cellStyle name="60% - Accent3" xfId="217"/>
    <cellStyle name="60% - Accent4" xfId="218"/>
    <cellStyle name="60% - Accent5" xfId="219"/>
    <cellStyle name="60% - Accent6" xfId="220"/>
    <cellStyle name="Accent1" xfId="221"/>
    <cellStyle name="Accent2" xfId="222"/>
    <cellStyle name="Accent3" xfId="223"/>
    <cellStyle name="Accent4" xfId="224"/>
    <cellStyle name="Accent5" xfId="225"/>
    <cellStyle name="Accent6" xfId="226"/>
    <cellStyle name="ÅëÈ­ [0]_      " xfId="227"/>
    <cellStyle name="AeE­ [0]_INQUIRY ¿?¾÷AßAø " xfId="228"/>
    <cellStyle name="ÅëÈ­_      " xfId="229"/>
    <cellStyle name="AeE­_INQUIRY ¿?¾÷AßAø " xfId="230"/>
    <cellStyle name="ÅëÈ­_L601CPT" xfId="231"/>
    <cellStyle name="ÄÞ¸¶ [0]_      " xfId="232"/>
    <cellStyle name="AÞ¸¶ [0]_INQUIRY ¿?¾÷AßAø " xfId="233"/>
    <cellStyle name="ÄÞ¸¶ [0]_L601CPT" xfId="234"/>
    <cellStyle name="ÄÞ¸¶_      " xfId="235"/>
    <cellStyle name="AÞ¸¶_INQUIRY ¿?¾÷AßAø " xfId="236"/>
    <cellStyle name="ÄÞ¸¶_L601CPT" xfId="237"/>
    <cellStyle name="AutoFormat Options" xfId="238"/>
    <cellStyle name="Bad" xfId="239"/>
    <cellStyle name="C?AØ_¿?¾÷CoE² " xfId="240"/>
    <cellStyle name="Ç¥ÁØ_      " xfId="241"/>
    <cellStyle name="C￥AØ_¿μ¾÷CoE² " xfId="242"/>
    <cellStyle name="Ç¥ÁØ_±¸¹Ì´ëÃ¥" xfId="243"/>
    <cellStyle name="Calculation" xfId="244"/>
    <cellStyle name="category" xfId="245"/>
    <cellStyle name="Cerrency_Sheet2_XANGDAU" xfId="246"/>
    <cellStyle name="Check Cell" xfId="247"/>
    <cellStyle name="Comma" xfId="248"/>
    <cellStyle name="Comma [0]" xfId="249"/>
    <cellStyle name="Comma0" xfId="250"/>
    <cellStyle name="Currency" xfId="251"/>
    <cellStyle name="Currency [0]" xfId="252"/>
    <cellStyle name="Currency0" xfId="253"/>
    <cellStyle name="d" xfId="254"/>
    <cellStyle name="Date" xfId="255"/>
    <cellStyle name="Dezimal [0]_UXO VII" xfId="256"/>
    <cellStyle name="Dezimal_UXO VII" xfId="257"/>
    <cellStyle name="Explanatory Text" xfId="258"/>
    <cellStyle name="Fixed" xfId="259"/>
    <cellStyle name="Followed Hyperlink" xfId="260"/>
    <cellStyle name="Good" xfId="261"/>
    <cellStyle name="Grey" xfId="262"/>
    <cellStyle name="Group" xfId="263"/>
    <cellStyle name="HEADER" xfId="264"/>
    <cellStyle name="Header1" xfId="265"/>
    <cellStyle name="Header2" xfId="266"/>
    <cellStyle name="Heading 1" xfId="267"/>
    <cellStyle name="Heading 2" xfId="268"/>
    <cellStyle name="Heading 3" xfId="269"/>
    <cellStyle name="Heading 4" xfId="270"/>
    <cellStyle name="Heading1" xfId="271"/>
    <cellStyle name="Heading2" xfId="272"/>
    <cellStyle name="Hyperlink" xfId="273"/>
    <cellStyle name="i·0" xfId="274"/>
    <cellStyle name="Input" xfId="275"/>
    <cellStyle name="Input [yellow]" xfId="276"/>
    <cellStyle name="Linked Cell" xfId="277"/>
    <cellStyle name="Model" xfId="278"/>
    <cellStyle name="Neutral" xfId="279"/>
    <cellStyle name="Normal - Style1" xfId="280"/>
    <cellStyle name="Normal 10" xfId="281"/>
    <cellStyle name="Normal 100" xfId="282"/>
    <cellStyle name="Normal 101" xfId="283"/>
    <cellStyle name="Normal 102" xfId="284"/>
    <cellStyle name="Normal 103" xfId="285"/>
    <cellStyle name="Normal 104" xfId="286"/>
    <cellStyle name="Normal 105" xfId="287"/>
    <cellStyle name="Normal 106" xfId="288"/>
    <cellStyle name="Normal 107" xfId="289"/>
    <cellStyle name="Normal 108" xfId="290"/>
    <cellStyle name="Normal 109" xfId="291"/>
    <cellStyle name="Normal 11" xfId="292"/>
    <cellStyle name="Normal 110" xfId="293"/>
    <cellStyle name="Normal 111" xfId="294"/>
    <cellStyle name="Normal 112" xfId="295"/>
    <cellStyle name="Normal 113" xfId="296"/>
    <cellStyle name="Normal 114" xfId="297"/>
    <cellStyle name="Normal 115" xfId="298"/>
    <cellStyle name="Normal 116" xfId="299"/>
    <cellStyle name="Normal 117" xfId="300"/>
    <cellStyle name="Normal 118" xfId="301"/>
    <cellStyle name="Normal 119" xfId="302"/>
    <cellStyle name="Normal 12" xfId="303"/>
    <cellStyle name="Normal 120" xfId="304"/>
    <cellStyle name="Normal 121" xfId="305"/>
    <cellStyle name="Normal 122" xfId="306"/>
    <cellStyle name="Normal 123" xfId="307"/>
    <cellStyle name="Normal 124" xfId="308"/>
    <cellStyle name="Normal 125" xfId="309"/>
    <cellStyle name="Normal 126" xfId="310"/>
    <cellStyle name="Normal 127" xfId="311"/>
    <cellStyle name="Normal 128" xfId="312"/>
    <cellStyle name="Normal 129" xfId="313"/>
    <cellStyle name="Normal 13" xfId="314"/>
    <cellStyle name="Normal 130" xfId="315"/>
    <cellStyle name="Normal 131" xfId="316"/>
    <cellStyle name="Normal 132" xfId="317"/>
    <cellStyle name="Normal 133" xfId="318"/>
    <cellStyle name="Normal 134" xfId="319"/>
    <cellStyle name="Normal 135" xfId="320"/>
    <cellStyle name="Normal 136" xfId="321"/>
    <cellStyle name="Normal 137" xfId="322"/>
    <cellStyle name="Normal 138" xfId="323"/>
    <cellStyle name="Normal 139" xfId="324"/>
    <cellStyle name="Normal 14" xfId="325"/>
    <cellStyle name="Normal 140" xfId="326"/>
    <cellStyle name="Normal 141" xfId="327"/>
    <cellStyle name="Normal 142" xfId="328"/>
    <cellStyle name="Normal 143" xfId="329"/>
    <cellStyle name="Normal 144" xfId="330"/>
    <cellStyle name="Normal 145" xfId="331"/>
    <cellStyle name="Normal 146" xfId="332"/>
    <cellStyle name="Normal 147" xfId="333"/>
    <cellStyle name="Normal 148" xfId="334"/>
    <cellStyle name="Normal 149" xfId="335"/>
    <cellStyle name="Normal 15" xfId="336"/>
    <cellStyle name="Normal 150" xfId="337"/>
    <cellStyle name="Normal 151" xfId="338"/>
    <cellStyle name="Normal 152" xfId="339"/>
    <cellStyle name="Normal 153" xfId="340"/>
    <cellStyle name="Normal 154" xfId="341"/>
    <cellStyle name="Normal 155" xfId="342"/>
    <cellStyle name="Normal 156" xfId="343"/>
    <cellStyle name="Normal 157" xfId="344"/>
    <cellStyle name="Normal 16" xfId="345"/>
    <cellStyle name="Normal 17" xfId="346"/>
    <cellStyle name="Normal 18" xfId="347"/>
    <cellStyle name="Normal 19" xfId="348"/>
    <cellStyle name="Normal 2" xfId="349"/>
    <cellStyle name="Normal 20" xfId="350"/>
    <cellStyle name="Normal 21" xfId="351"/>
    <cellStyle name="Normal 22" xfId="352"/>
    <cellStyle name="Normal 23" xfId="353"/>
    <cellStyle name="Normal 24" xfId="354"/>
    <cellStyle name="Normal 25" xfId="355"/>
    <cellStyle name="Normal 26" xfId="356"/>
    <cellStyle name="Normal 27" xfId="357"/>
    <cellStyle name="Normal 28" xfId="358"/>
    <cellStyle name="Normal 29" xfId="359"/>
    <cellStyle name="Normal 3" xfId="360"/>
    <cellStyle name="Normal 30" xfId="361"/>
    <cellStyle name="Normal 31" xfId="362"/>
    <cellStyle name="Normal 32" xfId="363"/>
    <cellStyle name="Normal 33" xfId="364"/>
    <cellStyle name="Normal 34" xfId="365"/>
    <cellStyle name="Normal 35" xfId="366"/>
    <cellStyle name="Normal 36" xfId="367"/>
    <cellStyle name="Normal 37" xfId="368"/>
    <cellStyle name="Normal 38" xfId="369"/>
    <cellStyle name="Normal 39" xfId="370"/>
    <cellStyle name="Normal 4" xfId="371"/>
    <cellStyle name="Normal 40" xfId="372"/>
    <cellStyle name="Normal 41" xfId="373"/>
    <cellStyle name="Normal 42" xfId="374"/>
    <cellStyle name="Normal 43" xfId="375"/>
    <cellStyle name="Normal 44" xfId="376"/>
    <cellStyle name="Normal 45" xfId="377"/>
    <cellStyle name="Normal 46" xfId="378"/>
    <cellStyle name="Normal 47" xfId="379"/>
    <cellStyle name="Normal 48" xfId="380"/>
    <cellStyle name="Normal 49" xfId="381"/>
    <cellStyle name="Normal 5" xfId="382"/>
    <cellStyle name="Normal 50" xfId="383"/>
    <cellStyle name="Normal 51" xfId="384"/>
    <cellStyle name="Normal 52" xfId="385"/>
    <cellStyle name="Normal 53" xfId="386"/>
    <cellStyle name="Normal 54" xfId="387"/>
    <cellStyle name="Normal 55" xfId="388"/>
    <cellStyle name="Normal 56" xfId="389"/>
    <cellStyle name="Normal 57" xfId="390"/>
    <cellStyle name="Normal 58" xfId="391"/>
    <cellStyle name="Normal 59" xfId="392"/>
    <cellStyle name="Normal 6" xfId="393"/>
    <cellStyle name="Normal 60" xfId="394"/>
    <cellStyle name="Normal 61" xfId="395"/>
    <cellStyle name="Normal 62" xfId="396"/>
    <cellStyle name="Normal 63" xfId="397"/>
    <cellStyle name="Normal 64" xfId="398"/>
    <cellStyle name="Normal 65" xfId="399"/>
    <cellStyle name="Normal 66" xfId="400"/>
    <cellStyle name="Normal 67" xfId="401"/>
    <cellStyle name="Normal 68" xfId="402"/>
    <cellStyle name="Normal 69" xfId="403"/>
    <cellStyle name="Normal 7" xfId="404"/>
    <cellStyle name="Normal 70" xfId="405"/>
    <cellStyle name="Normal 71" xfId="406"/>
    <cellStyle name="Normal 72" xfId="407"/>
    <cellStyle name="Normal 73" xfId="408"/>
    <cellStyle name="Normal 74" xfId="409"/>
    <cellStyle name="Normal 75" xfId="410"/>
    <cellStyle name="Normal 76" xfId="411"/>
    <cellStyle name="Normal 77" xfId="412"/>
    <cellStyle name="Normal 78" xfId="413"/>
    <cellStyle name="Normal 79" xfId="414"/>
    <cellStyle name="Normal 8" xfId="415"/>
    <cellStyle name="Normal 80" xfId="416"/>
    <cellStyle name="Normal 81" xfId="417"/>
    <cellStyle name="Normal 82" xfId="418"/>
    <cellStyle name="Normal 83" xfId="419"/>
    <cellStyle name="Normal 84" xfId="420"/>
    <cellStyle name="Normal 85" xfId="421"/>
    <cellStyle name="Normal 86" xfId="422"/>
    <cellStyle name="Normal 87" xfId="423"/>
    <cellStyle name="Normal 88" xfId="424"/>
    <cellStyle name="Normal 89" xfId="425"/>
    <cellStyle name="Normal 9" xfId="426"/>
    <cellStyle name="Normal 90" xfId="427"/>
    <cellStyle name="Normal 91" xfId="428"/>
    <cellStyle name="Normal 92" xfId="429"/>
    <cellStyle name="Normal 93" xfId="430"/>
    <cellStyle name="Normal 94" xfId="431"/>
    <cellStyle name="Normal 95" xfId="432"/>
    <cellStyle name="Normal 96" xfId="433"/>
    <cellStyle name="Normal 97" xfId="434"/>
    <cellStyle name="Normal 98" xfId="435"/>
    <cellStyle name="Normal 99" xfId="436"/>
    <cellStyle name="Normal_5. Thiet ke Cot" xfId="437"/>
    <cellStyle name="Normal_GENERAL_REPORT" xfId="438"/>
    <cellStyle name="Note" xfId="439"/>
    <cellStyle name="NWM" xfId="440"/>
    <cellStyle name="omma [0]_Mktg Prog" xfId="441"/>
    <cellStyle name="ormal_Sheet1_1" xfId="442"/>
    <cellStyle name="Output" xfId="443"/>
    <cellStyle name="Percent" xfId="444"/>
    <cellStyle name="Percent [2]" xfId="445"/>
    <cellStyle name="S—_x0008_" xfId="446"/>
    <cellStyle name="Style 1" xfId="447"/>
    <cellStyle name="Style 10" xfId="448"/>
    <cellStyle name="Style 11" xfId="449"/>
    <cellStyle name="Style 12" xfId="450"/>
    <cellStyle name="Style 13" xfId="451"/>
    <cellStyle name="Style 14" xfId="452"/>
    <cellStyle name="Style 15" xfId="453"/>
    <cellStyle name="Style 16" xfId="454"/>
    <cellStyle name="Style 17" xfId="455"/>
    <cellStyle name="Style 18" xfId="456"/>
    <cellStyle name="Style 19" xfId="457"/>
    <cellStyle name="Style 2" xfId="458"/>
    <cellStyle name="Style 20" xfId="459"/>
    <cellStyle name="Style 21" xfId="460"/>
    <cellStyle name="Style 22" xfId="461"/>
    <cellStyle name="Style 23" xfId="462"/>
    <cellStyle name="Style 24" xfId="463"/>
    <cellStyle name="Style 25" xfId="464"/>
    <cellStyle name="Style 26" xfId="465"/>
    <cellStyle name="Style 27" xfId="466"/>
    <cellStyle name="Style 28" xfId="467"/>
    <cellStyle name="Style 29" xfId="468"/>
    <cellStyle name="Style 3" xfId="469"/>
    <cellStyle name="Style 30" xfId="470"/>
    <cellStyle name="Style 31" xfId="471"/>
    <cellStyle name="Style 32" xfId="472"/>
    <cellStyle name="Style 33" xfId="473"/>
    <cellStyle name="Style 34" xfId="474"/>
    <cellStyle name="Style 35" xfId="475"/>
    <cellStyle name="Style 36" xfId="476"/>
    <cellStyle name="Style 37" xfId="477"/>
    <cellStyle name="Style 38" xfId="478"/>
    <cellStyle name="Style 39" xfId="479"/>
    <cellStyle name="Style 4" xfId="480"/>
    <cellStyle name="Style 40" xfId="481"/>
    <cellStyle name="Style 41" xfId="482"/>
    <cellStyle name="Style 42" xfId="483"/>
    <cellStyle name="Style 43" xfId="484"/>
    <cellStyle name="Style 44" xfId="485"/>
    <cellStyle name="Style 45" xfId="486"/>
    <cellStyle name="Style 46" xfId="487"/>
    <cellStyle name="Style 47" xfId="488"/>
    <cellStyle name="Style 48" xfId="489"/>
    <cellStyle name="Style 5" xfId="490"/>
    <cellStyle name="Style 6" xfId="491"/>
    <cellStyle name="Style 7" xfId="492"/>
    <cellStyle name="Style 8" xfId="493"/>
    <cellStyle name="Style 9" xfId="494"/>
    <cellStyle name="Style Date" xfId="495"/>
    <cellStyle name="subhead" xfId="496"/>
    <cellStyle name="symbol" xfId="497"/>
    <cellStyle name="T" xfId="498"/>
    <cellStyle name="th" xfId="499"/>
    <cellStyle name="Title" xfId="500"/>
    <cellStyle name="Total" xfId="501"/>
    <cellStyle name="VANG1" xfId="502"/>
    <cellStyle name="viet" xfId="503"/>
    <cellStyle name="viet2" xfId="504"/>
    <cellStyle name="Währung [0]_UXO VII" xfId="505"/>
    <cellStyle name="Währung_UXO VII" xfId="506"/>
    <cellStyle name="Warning Text" xfId="507"/>
    <cellStyle name="똿뗦먛귟 [0.00]_PRODUCT DETAIL Q1" xfId="508"/>
    <cellStyle name="똿뗦먛귟_PRODUCT DETAIL Q1" xfId="509"/>
    <cellStyle name="믅됞 [0.00]_PRODUCT DETAIL Q1" xfId="510"/>
    <cellStyle name="믅됞_PRODUCT DETAIL Q1" xfId="511"/>
    <cellStyle name="백분율_95" xfId="512"/>
    <cellStyle name="뷭?_BOOKSHIP" xfId="513"/>
    <cellStyle name="콤마 [0]_1202" xfId="514"/>
    <cellStyle name="콤마_1202" xfId="515"/>
    <cellStyle name="통화 [0]_1202" xfId="516"/>
    <cellStyle name="통화_1202" xfId="517"/>
    <cellStyle name="표준_(정보부문)월별인원계획" xfId="518"/>
    <cellStyle name="一般_Book1" xfId="519"/>
    <cellStyle name="千分位[0]_Book1" xfId="520"/>
    <cellStyle name="千分位_Book1" xfId="521"/>
    <cellStyle name="貨幣 [0]_Book1" xfId="522"/>
    <cellStyle name="貨幣[0]_MATL COST ANALYSIS" xfId="523"/>
    <cellStyle name="貨幣_Book1" xfId="5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381000</xdr:colOff>
      <xdr:row>0</xdr:row>
      <xdr:rowOff>0</xdr:rowOff>
    </xdr:from>
    <xdr:to>
      <xdr:col>11</xdr:col>
      <xdr:colOff>371475</xdr:colOff>
      <xdr:row>1</xdr:row>
      <xdr:rowOff>85725</xdr:rowOff>
    </xdr:to>
    <xdr:sp macro="[0]!xuatketqua">
      <xdr:nvSpPr>
        <xdr:cNvPr id="1" name="Rounded Rectangle 2"/>
        <xdr:cNvSpPr>
          <a:spLocks/>
        </xdr:cNvSpPr>
      </xdr:nvSpPr>
      <xdr:spPr>
        <a:xfrm>
          <a:off x="6210300" y="0"/>
          <a:ext cx="1266825" cy="409575"/>
        </a:xfrm>
        <a:prstGeom prst="roundRect">
          <a:avLst/>
        </a:prstGeom>
        <a:solidFill>
          <a:srgbClr val="99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XUẤT BÁO</a:t>
          </a:r>
          <a:r>
            <a:rPr lang="en-US" cap="none" sz="1100" b="0" i="0" u="none" baseline="0">
              <a:solidFill>
                <a:srgbClr val="000000"/>
              </a:solidFill>
            </a:rPr>
            <a:t> CÁO</a:t>
          </a:r>
        </a:p>
      </xdr:txBody>
    </xdr:sp>
    <xdr:clientData/>
  </xdr:twoCellAnchor>
  <xdr:twoCellAnchor editAs="oneCell">
    <xdr:from>
      <xdr:col>6</xdr:col>
      <xdr:colOff>485775</xdr:colOff>
      <xdr:row>15</xdr:row>
      <xdr:rowOff>171450</xdr:rowOff>
    </xdr:from>
    <xdr:to>
      <xdr:col>8</xdr:col>
      <xdr:colOff>1038225</xdr:colOff>
      <xdr:row>25</xdr:row>
      <xdr:rowOff>180975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1"/>
        <a:srcRect l="57943" t="31259" r="14938" b="29222"/>
        <a:stretch>
          <a:fillRect/>
        </a:stretch>
      </xdr:blipFill>
      <xdr:spPr>
        <a:xfrm>
          <a:off x="3867150" y="3448050"/>
          <a:ext cx="1924050" cy="2105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85725</xdr:colOff>
      <xdr:row>48</xdr:row>
      <xdr:rowOff>0</xdr:rowOff>
    </xdr:from>
    <xdr:to>
      <xdr:col>4</xdr:col>
      <xdr:colOff>495300</xdr:colOff>
      <xdr:row>49</xdr:row>
      <xdr:rowOff>28575</xdr:rowOff>
    </xdr:to>
    <xdr:pic>
      <xdr:nvPicPr>
        <xdr:cNvPr id="3" name="Picture 716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10534650"/>
          <a:ext cx="86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49</xdr:row>
      <xdr:rowOff>66675</xdr:rowOff>
    </xdr:from>
    <xdr:to>
      <xdr:col>4</xdr:col>
      <xdr:colOff>466725</xdr:colOff>
      <xdr:row>50</xdr:row>
      <xdr:rowOff>0</xdr:rowOff>
    </xdr:to>
    <xdr:pic>
      <xdr:nvPicPr>
        <xdr:cNvPr id="4" name="Picture 716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85875" y="10991850"/>
          <a:ext cx="866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50</xdr:row>
      <xdr:rowOff>19050</xdr:rowOff>
    </xdr:from>
    <xdr:to>
      <xdr:col>4</xdr:col>
      <xdr:colOff>466725</xdr:colOff>
      <xdr:row>51</xdr:row>
      <xdr:rowOff>66675</xdr:rowOff>
    </xdr:to>
    <xdr:pic>
      <xdr:nvPicPr>
        <xdr:cNvPr id="5" name="Picture 717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11468100"/>
          <a:ext cx="1038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20</xdr:row>
      <xdr:rowOff>38100</xdr:rowOff>
    </xdr:from>
    <xdr:to>
      <xdr:col>8</xdr:col>
      <xdr:colOff>419100</xdr:colOff>
      <xdr:row>26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39375" t="43077" r="47438" b="34666"/>
        <a:stretch>
          <a:fillRect/>
        </a:stretch>
      </xdr:blipFill>
      <xdr:spPr>
        <a:xfrm>
          <a:off x="3771900" y="4362450"/>
          <a:ext cx="1495425" cy="1419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381000</xdr:colOff>
      <xdr:row>0</xdr:row>
      <xdr:rowOff>0</xdr:rowOff>
    </xdr:from>
    <xdr:to>
      <xdr:col>11</xdr:col>
      <xdr:colOff>371475</xdr:colOff>
      <xdr:row>1</xdr:row>
      <xdr:rowOff>85725</xdr:rowOff>
    </xdr:to>
    <xdr:sp macro="[0]!xuatketqua">
      <xdr:nvSpPr>
        <xdr:cNvPr id="2" name="Rounded Rectangle 2"/>
        <xdr:cNvSpPr>
          <a:spLocks/>
        </xdr:cNvSpPr>
      </xdr:nvSpPr>
      <xdr:spPr>
        <a:xfrm>
          <a:off x="6096000" y="0"/>
          <a:ext cx="1266825" cy="409575"/>
        </a:xfrm>
        <a:prstGeom prst="roundRect">
          <a:avLst/>
        </a:prstGeom>
        <a:solidFill>
          <a:srgbClr val="99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XUẤT BÁO</a:t>
          </a:r>
          <a:r>
            <a:rPr lang="en-US" cap="none" sz="1100" b="0" i="0" u="none" baseline="0">
              <a:solidFill>
                <a:srgbClr val="000000"/>
              </a:solidFill>
            </a:rPr>
            <a:t> CÁO</a:t>
          </a:r>
        </a:p>
      </xdr:txBody>
    </xdr:sp>
    <xdr:clientData/>
  </xdr:twoCellAnchor>
  <xdr:twoCellAnchor>
    <xdr:from>
      <xdr:col>3</xdr:col>
      <xdr:colOff>19050</xdr:colOff>
      <xdr:row>46</xdr:row>
      <xdr:rowOff>19050</xdr:rowOff>
    </xdr:from>
    <xdr:to>
      <xdr:col>4</xdr:col>
      <xdr:colOff>428625</xdr:colOff>
      <xdr:row>47</xdr:row>
      <xdr:rowOff>9525</xdr:rowOff>
    </xdr:to>
    <xdr:pic>
      <xdr:nvPicPr>
        <xdr:cNvPr id="3" name="Picture 716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47775" y="10134600"/>
          <a:ext cx="86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46</xdr:row>
      <xdr:rowOff>419100</xdr:rowOff>
    </xdr:from>
    <xdr:to>
      <xdr:col>4</xdr:col>
      <xdr:colOff>409575</xdr:colOff>
      <xdr:row>48</xdr:row>
      <xdr:rowOff>0</xdr:rowOff>
    </xdr:to>
    <xdr:pic>
      <xdr:nvPicPr>
        <xdr:cNvPr id="4" name="Picture 716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10534650"/>
          <a:ext cx="866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47</xdr:row>
      <xdr:rowOff>438150</xdr:rowOff>
    </xdr:from>
    <xdr:to>
      <xdr:col>4</xdr:col>
      <xdr:colOff>447675</xdr:colOff>
      <xdr:row>49</xdr:row>
      <xdr:rowOff>9525</xdr:rowOff>
    </xdr:to>
    <xdr:pic>
      <xdr:nvPicPr>
        <xdr:cNvPr id="5" name="Picture 717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95375" y="10982325"/>
          <a:ext cx="1038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et\Desktop\INDUSTRIAL_FACTO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im%20lien\OMEXEY%20GD%20II\KHOAN%20NC%20KT\Nhon\thep%20nha%20lien%20ke%207%20c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Excel\Data\Tinh%20tong%20hop%20du%20toa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lEtsgO\My%20Documents\Google%20Drive\21.%20EXCEL_CHUAN\07.%20NHA%20CONG%20NGHIEP\STRUCTURE_VIET_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SD\P3(Qg-Bao)\Kiemtr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NAM98\DUTOAN\Tinh%20tong%20hop%20du%20toan%20b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nh\c\CANHAN\MUNG\THOP9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UYET MINH"/>
      <sheetName val="Kiemtra"/>
      <sheetName val="NOI SUY"/>
      <sheetName val="DATA"/>
      <sheetName val="Help"/>
    </sheetNames>
    <sheetDataSet>
      <sheetData sheetId="3">
        <row r="21">
          <cell r="A21" t="str">
            <v>CT34</v>
          </cell>
        </row>
        <row r="22">
          <cell r="A22" t="str">
            <v>CT38</v>
          </cell>
        </row>
        <row r="23">
          <cell r="A23" t="str">
            <v>CT42</v>
          </cell>
        </row>
        <row r="27">
          <cell r="A27" t="str">
            <v>N42, N42-6B</v>
          </cell>
        </row>
        <row r="28">
          <cell r="A28" t="str">
            <v>N46, N46-6B</v>
          </cell>
        </row>
        <row r="29">
          <cell r="A29" t="str">
            <v>N50, N50-6B</v>
          </cell>
        </row>
        <row r="35">
          <cell r="A35">
            <v>4.6</v>
          </cell>
        </row>
        <row r="36">
          <cell r="A36">
            <v>4.8</v>
          </cell>
        </row>
        <row r="37">
          <cell r="A37">
            <v>5.6</v>
          </cell>
        </row>
        <row r="38">
          <cell r="A38">
            <v>5.8</v>
          </cell>
        </row>
        <row r="39">
          <cell r="A39">
            <v>6.6</v>
          </cell>
        </row>
        <row r="40">
          <cell r="A40">
            <v>8.8</v>
          </cell>
        </row>
        <row r="41">
          <cell r="A41">
            <v>10.9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ntity"/>
      <sheetName val="tt"/>
      <sheetName val="Du toan"/>
      <sheetName val="Keothep"/>
      <sheetName val="Re-bar"/>
      <sheetName val="Basic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Tong hop 1,05"/>
      <sheetName val="Tong hop 1,1"/>
      <sheetName val="Tong hop WB"/>
      <sheetName val="34KHCB"/>
      <sheetName val="Module1"/>
      <sheetName val="Phu thu"/>
      <sheetName val="Tong hop"/>
      <sheetName val="nd316"/>
      <sheetName val="ad304"/>
      <sheetName val="ad301"/>
      <sheetName val="ad302"/>
      <sheetName val="nd116"/>
      <sheetName val="GD309"/>
      <sheetName val="GD110"/>
      <sheetName val="ad403"/>
      <sheetName val="ad404"/>
      <sheetName val="ND120"/>
      <sheetName val="ND119"/>
      <sheetName val="GD217"/>
      <sheetName val="KT"/>
      <sheetName val="Dai tu 99"/>
      <sheetName val="KHCB"/>
      <sheetName val="WB"/>
      <sheetName val="VAT"/>
      <sheetName val="CK90702"/>
      <sheetName val="CK90703"/>
      <sheetName val="Thu duc"/>
      <sheetName val="ad201"/>
      <sheetName val="Data PT"/>
      <sheetName val="Tinh tong hop du toan"/>
    </sheetNames>
    <definedNames>
      <definedName name="cplhsmt" refersTo="#REF!"/>
      <definedName name="cptdhsmt" refersTo="#REF!"/>
      <definedName name="cptdtdt" refersTo="#REF!"/>
      <definedName name="cptdtkkt" refersTo="#REF!"/>
      <definedName name="gsktxd" refersTo="#REF!"/>
      <definedName name="qlda" refersTo="#REF!"/>
      <definedName name="tinhqt" refersTo="#REF!"/>
      <definedName name="tkp" refersTo="#REF!"/>
      <definedName name="tkpdt" refersTo="#REF!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HEP DAM"/>
      <sheetName val="TUONG CHAN"/>
      <sheetName val="BANG TRA THEP"/>
      <sheetName val="SO LIEU TT"/>
      <sheetName val="CHON THEP"/>
      <sheetName val="COTDAI"/>
      <sheetName val="COT TRON"/>
      <sheetName val="THONGKE"/>
      <sheetName val="TINHCOT"/>
      <sheetName val="TINHNETA"/>
      <sheetName val="COTDXUNG"/>
      <sheetName val="DVI"/>
      <sheetName val="TAITRONG"/>
      <sheetName val="MONGDON"/>
      <sheetName val="MONGBANG"/>
      <sheetName val="COC EP"/>
      <sheetName val="GIO"/>
      <sheetName val="Data"/>
      <sheetName val="FirstAL"/>
      <sheetName val="XEMLICH"/>
    </sheetNames>
    <sheetDataSet>
      <sheetData sheetId="18">
        <row r="5">
          <cell r="C5">
            <v>1960</v>
          </cell>
          <cell r="D5" t="str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iemtra"/>
    </sheetNames>
    <definedNames>
      <definedName name="K_1"/>
      <definedName name="K_2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nh tong hop du toan bis"/>
    </sheetNames>
    <definedNames>
      <definedName name="lbcnckt"/>
      <definedName name="Module1.cplhsmt"/>
      <definedName name="Module1.cptdhsmt"/>
      <definedName name="Module1.cptdtdt"/>
      <definedName name="Module1.cptdtkkt"/>
      <definedName name="Module1.gsktxd"/>
      <definedName name="Module1.qlda"/>
      <definedName name="Module1.tinhqt"/>
      <definedName name="tdbcnckt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HOP95"/>
    </sheetNames>
    <definedNames>
      <definedName name="NTo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A1:M53"/>
  <sheetViews>
    <sheetView showGridLines="0" tabSelected="1" zoomScalePageLayoutView="0" workbookViewId="0" topLeftCell="A1">
      <selection activeCell="M18" sqref="M18"/>
    </sheetView>
  </sheetViews>
  <sheetFormatPr defaultColWidth="8.88671875" defaultRowHeight="16.5"/>
  <cols>
    <col min="1" max="1" width="3.5546875" style="0" customWidth="1"/>
    <col min="2" max="2" width="4.77734375" style="0" customWidth="1"/>
    <col min="3" max="3" width="5.99609375" style="0" customWidth="1"/>
    <col min="4" max="4" width="5.3359375" style="0" customWidth="1"/>
    <col min="5" max="5" width="7.6640625" style="0" customWidth="1"/>
    <col min="6" max="6" width="12.10546875" style="0" customWidth="1"/>
    <col min="7" max="7" width="7.88671875" style="0" customWidth="1"/>
    <col min="8" max="8" width="8.10546875" style="0" customWidth="1"/>
    <col min="9" max="9" width="12.5546875" style="0" customWidth="1"/>
    <col min="10" max="10" width="4.77734375" style="0" customWidth="1"/>
    <col min="11" max="11" width="10.10546875" style="0" customWidth="1"/>
    <col min="13" max="13" width="10.4453125" style="0" bestFit="1" customWidth="1"/>
  </cols>
  <sheetData>
    <row r="1" spans="1:9" ht="25.5" customHeight="1">
      <c r="A1" s="66" t="s">
        <v>77</v>
      </c>
      <c r="B1" s="67"/>
      <c r="C1" s="67"/>
      <c r="D1" s="67"/>
      <c r="E1" s="67"/>
      <c r="F1" s="67"/>
      <c r="G1" s="67"/>
      <c r="H1" s="67"/>
      <c r="I1" s="68"/>
    </row>
    <row r="2" spans="1:12" ht="16.5" customHeight="1">
      <c r="A2" s="86" t="s">
        <v>173</v>
      </c>
      <c r="B2" s="87"/>
      <c r="C2" s="87"/>
      <c r="D2" s="88"/>
      <c r="E2" s="88"/>
      <c r="F2" s="88"/>
      <c r="G2" s="88"/>
      <c r="H2" s="88"/>
      <c r="I2" s="89"/>
      <c r="L2" s="1"/>
    </row>
    <row r="3" spans="1:9" ht="16.5">
      <c r="A3" s="86" t="s">
        <v>174</v>
      </c>
      <c r="B3" s="87"/>
      <c r="C3" s="87"/>
      <c r="D3" s="102"/>
      <c r="E3" s="102"/>
      <c r="F3" s="102"/>
      <c r="G3" s="102"/>
      <c r="H3" s="102"/>
      <c r="I3" s="103"/>
    </row>
    <row r="4" spans="1:9" ht="17.25" thickBot="1">
      <c r="A4" s="104" t="s">
        <v>175</v>
      </c>
      <c r="B4" s="105"/>
      <c r="C4" s="105"/>
      <c r="D4" s="106"/>
      <c r="E4" s="106"/>
      <c r="F4" s="106"/>
      <c r="G4" s="106"/>
      <c r="H4" s="106"/>
      <c r="I4" s="107"/>
    </row>
    <row r="5" spans="1:9" ht="17.25" thickTop="1">
      <c r="A5" s="12" t="s">
        <v>6</v>
      </c>
      <c r="B5" s="13"/>
      <c r="C5" s="13"/>
      <c r="D5" s="13"/>
      <c r="E5" s="13"/>
      <c r="F5" s="13"/>
      <c r="G5" s="13"/>
      <c r="H5" s="13"/>
      <c r="I5" s="14"/>
    </row>
    <row r="6" spans="1:9" ht="16.5">
      <c r="A6" s="11"/>
      <c r="B6" s="23" t="s">
        <v>72</v>
      </c>
      <c r="C6" s="4"/>
      <c r="D6" s="4"/>
      <c r="E6" s="4"/>
      <c r="F6" s="4"/>
      <c r="G6" s="4"/>
      <c r="H6" s="4"/>
      <c r="I6" s="5"/>
    </row>
    <row r="7" spans="1:9" ht="16.5">
      <c r="A7" s="69" t="s">
        <v>7</v>
      </c>
      <c r="B7" s="85"/>
      <c r="C7" s="85"/>
      <c r="D7" s="85"/>
      <c r="E7" s="85"/>
      <c r="F7" s="85"/>
      <c r="G7" s="85"/>
      <c r="H7" s="85"/>
      <c r="I7" s="77"/>
    </row>
    <row r="8" spans="1:9" ht="16.5">
      <c r="A8" s="69" t="s">
        <v>8</v>
      </c>
      <c r="B8" s="4"/>
      <c r="C8" s="4"/>
      <c r="D8" s="4"/>
      <c r="E8" s="4"/>
      <c r="F8" s="4"/>
      <c r="G8" s="4"/>
      <c r="H8" s="4"/>
      <c r="I8" s="5"/>
    </row>
    <row r="9" spans="1:9" ht="16.5">
      <c r="A9" s="3"/>
      <c r="B9" s="4" t="s">
        <v>78</v>
      </c>
      <c r="C9" s="4"/>
      <c r="D9" s="4"/>
      <c r="E9" s="4" t="s">
        <v>12</v>
      </c>
      <c r="F9" s="17">
        <v>6</v>
      </c>
      <c r="G9" s="9" t="s">
        <v>2</v>
      </c>
      <c r="H9" s="4"/>
      <c r="I9" s="5"/>
    </row>
    <row r="10" spans="1:9" ht="16.5">
      <c r="A10" s="3"/>
      <c r="B10" s="4"/>
      <c r="C10" s="4"/>
      <c r="D10" s="4"/>
      <c r="E10" s="4" t="s">
        <v>87</v>
      </c>
      <c r="F10" s="17">
        <f>F9</f>
        <v>6</v>
      </c>
      <c r="G10" s="9" t="s">
        <v>2</v>
      </c>
      <c r="H10" s="4"/>
      <c r="I10" s="5"/>
    </row>
    <row r="11" spans="1:9" ht="16.5">
      <c r="A11" s="3"/>
      <c r="B11" s="4"/>
      <c r="C11" s="4"/>
      <c r="D11" s="4"/>
      <c r="E11" s="4" t="s">
        <v>88</v>
      </c>
      <c r="F11" s="17">
        <f>IF(F13=1,F9/2,IF(F13=2,F9/3,"Kiểm Tra lại"))</f>
        <v>3</v>
      </c>
      <c r="G11" s="9" t="s">
        <v>2</v>
      </c>
      <c r="H11" s="4"/>
      <c r="I11" s="5"/>
    </row>
    <row r="12" spans="1:9" ht="16.5">
      <c r="A12" s="3"/>
      <c r="B12" s="4" t="s">
        <v>9</v>
      </c>
      <c r="C12" s="4"/>
      <c r="D12" s="4"/>
      <c r="E12" s="4" t="s">
        <v>13</v>
      </c>
      <c r="F12" s="17">
        <v>1</v>
      </c>
      <c r="G12" s="9" t="s">
        <v>2</v>
      </c>
      <c r="H12" s="4"/>
      <c r="I12" s="5"/>
    </row>
    <row r="13" spans="1:9" ht="16.5">
      <c r="A13" s="3"/>
      <c r="B13" s="4" t="s">
        <v>79</v>
      </c>
      <c r="C13" s="4"/>
      <c r="D13" s="4"/>
      <c r="E13" s="4" t="s">
        <v>14</v>
      </c>
      <c r="F13" s="17">
        <v>1</v>
      </c>
      <c r="G13" s="9" t="s">
        <v>17</v>
      </c>
      <c r="H13" s="4"/>
      <c r="I13" s="5"/>
    </row>
    <row r="14" spans="1:9" ht="16.5">
      <c r="A14" s="3"/>
      <c r="B14" s="4" t="s">
        <v>10</v>
      </c>
      <c r="C14" s="4"/>
      <c r="D14" s="4"/>
      <c r="E14" s="4" t="s">
        <v>15</v>
      </c>
      <c r="F14" s="17">
        <v>30</v>
      </c>
      <c r="G14" s="9" t="s">
        <v>90</v>
      </c>
      <c r="H14" s="30">
        <v>0</v>
      </c>
      <c r="I14" s="70" t="s">
        <v>89</v>
      </c>
    </row>
    <row r="15" spans="1:9" ht="16.5">
      <c r="A15" s="3"/>
      <c r="B15" s="4" t="s">
        <v>11</v>
      </c>
      <c r="C15" s="4"/>
      <c r="D15" s="4"/>
      <c r="E15" s="78" t="s">
        <v>16</v>
      </c>
      <c r="F15" s="79">
        <f>ATAN(F14/100)</f>
        <v>0.2914567944778671</v>
      </c>
      <c r="G15" s="9" t="s">
        <v>91</v>
      </c>
      <c r="H15" s="29">
        <f>RADIANS(H14)</f>
        <v>0</v>
      </c>
      <c r="I15" s="70" t="s">
        <v>18</v>
      </c>
    </row>
    <row r="16" spans="1:9" ht="16.5">
      <c r="A16" s="69" t="s">
        <v>19</v>
      </c>
      <c r="B16" s="85"/>
      <c r="C16" s="85"/>
      <c r="D16" s="85"/>
      <c r="E16" s="80" t="s">
        <v>58</v>
      </c>
      <c r="F16" s="81" t="s">
        <v>124</v>
      </c>
      <c r="G16" s="85"/>
      <c r="H16" s="85"/>
      <c r="I16" s="77"/>
    </row>
    <row r="17" spans="1:9" ht="16.5">
      <c r="A17" s="3"/>
      <c r="B17" s="4"/>
      <c r="C17" s="4"/>
      <c r="D17" s="4"/>
      <c r="E17" s="4"/>
      <c r="F17" s="18"/>
      <c r="G17" s="9"/>
      <c r="H17" s="4"/>
      <c r="I17" s="5"/>
    </row>
    <row r="18" spans="1:9" ht="16.5">
      <c r="A18" s="3"/>
      <c r="B18" s="4" t="s">
        <v>20</v>
      </c>
      <c r="C18" s="4"/>
      <c r="D18" s="4"/>
      <c r="E18" s="4" t="s">
        <v>121</v>
      </c>
      <c r="F18" s="23">
        <f>VLOOKUP($F$16,'tra thép Z'!$A$16:$AC$45,3,0)</f>
        <v>150</v>
      </c>
      <c r="G18" s="9" t="s">
        <v>0</v>
      </c>
      <c r="H18" s="4"/>
      <c r="I18" s="5"/>
    </row>
    <row r="19" spans="1:9" ht="16.5">
      <c r="A19" s="3"/>
      <c r="B19" s="4" t="s">
        <v>21</v>
      </c>
      <c r="C19" s="4"/>
      <c r="D19" s="4"/>
      <c r="E19" s="4" t="s">
        <v>25</v>
      </c>
      <c r="F19" s="23">
        <f>VLOOKUP($F$16,'tra thép Z'!$A$16:$AC$45,4,0)</f>
        <v>62</v>
      </c>
      <c r="G19" s="9" t="s">
        <v>0</v>
      </c>
      <c r="H19" s="4"/>
      <c r="I19" s="5"/>
    </row>
    <row r="20" spans="1:9" ht="16.5">
      <c r="A20" s="3"/>
      <c r="B20" s="4" t="s">
        <v>21</v>
      </c>
      <c r="C20" s="4"/>
      <c r="D20" s="4"/>
      <c r="E20" s="4" t="s">
        <v>26</v>
      </c>
      <c r="F20" s="23">
        <f>VLOOKUP($F$16,'tra thép Z'!$A$16:$AC$45,5,0)</f>
        <v>68</v>
      </c>
      <c r="G20" s="9" t="s">
        <v>0</v>
      </c>
      <c r="H20" s="4"/>
      <c r="I20" s="5"/>
    </row>
    <row r="21" spans="1:9" ht="16.5">
      <c r="A21" s="3"/>
      <c r="B21" s="4" t="s">
        <v>122</v>
      </c>
      <c r="C21" s="4"/>
      <c r="D21" s="4"/>
      <c r="E21" s="4" t="s">
        <v>27</v>
      </c>
      <c r="F21" s="23">
        <f>VLOOKUP($F$16,'tra thép Z'!$A$16:$AC$45,6,0)</f>
        <v>18</v>
      </c>
      <c r="G21" s="9" t="s">
        <v>0</v>
      </c>
      <c r="H21" s="4"/>
      <c r="I21" s="5"/>
    </row>
    <row r="22" spans="1:9" ht="16.5">
      <c r="A22" s="3"/>
      <c r="B22" s="4" t="s">
        <v>123</v>
      </c>
      <c r="C22" s="4"/>
      <c r="D22" s="4"/>
      <c r="E22" s="4" t="s">
        <v>28</v>
      </c>
      <c r="F22" s="23" t="str">
        <f>VLOOKUP($F$16,'tra thép Z'!$A$16:$AC$45,7,0)</f>
        <v>1.8</v>
      </c>
      <c r="G22" s="9" t="s">
        <v>0</v>
      </c>
      <c r="H22" s="72"/>
      <c r="I22" s="5"/>
    </row>
    <row r="23" spans="1:13" ht="16.5">
      <c r="A23" s="69" t="s">
        <v>57</v>
      </c>
      <c r="B23" s="9"/>
      <c r="C23" s="4"/>
      <c r="D23" s="4"/>
      <c r="E23" s="4"/>
      <c r="F23" s="4"/>
      <c r="G23" s="4"/>
      <c r="H23" s="4"/>
      <c r="I23" s="5"/>
      <c r="M23" s="28"/>
    </row>
    <row r="24" spans="1:9" ht="16.5">
      <c r="A24" s="11" t="s">
        <v>22</v>
      </c>
      <c r="B24" s="4"/>
      <c r="C24" s="4"/>
      <c r="D24" s="4" t="s">
        <v>47</v>
      </c>
      <c r="E24" s="23">
        <f>VLOOKUP($F$16,'tra thép Z'!$A$16:$AC$45,9,0)</f>
        <v>540</v>
      </c>
      <c r="F24" s="24" t="s">
        <v>60</v>
      </c>
      <c r="G24" s="4"/>
      <c r="H24" s="4"/>
      <c r="I24" s="5"/>
    </row>
    <row r="25" spans="1:9" ht="16.5">
      <c r="A25" s="11" t="s">
        <v>23</v>
      </c>
      <c r="B25" s="4"/>
      <c r="C25" s="4"/>
      <c r="D25" s="4" t="s">
        <v>46</v>
      </c>
      <c r="E25" s="23">
        <f>VLOOKUP($F$16,'tra thép Z'!$A$16:$AC$45,10,0)</f>
        <v>194.729</v>
      </c>
      <c r="F25" s="24" t="s">
        <v>61</v>
      </c>
      <c r="G25" s="4"/>
      <c r="H25" s="4"/>
      <c r="I25" s="5"/>
    </row>
    <row r="26" spans="1:9" ht="16.5">
      <c r="A26" s="11"/>
      <c r="B26" s="4"/>
      <c r="C26" s="4"/>
      <c r="D26" s="4" t="s">
        <v>45</v>
      </c>
      <c r="E26" s="23">
        <f>VLOOKUP($F$16,'tra thép Z'!$A$16:$AC$45,14,0)</f>
        <v>48.702</v>
      </c>
      <c r="F26" s="24" t="s">
        <v>61</v>
      </c>
      <c r="G26" s="4"/>
      <c r="H26" s="4"/>
      <c r="I26" s="5"/>
    </row>
    <row r="27" spans="1:9" ht="16.5">
      <c r="A27" s="11" t="s">
        <v>24</v>
      </c>
      <c r="B27" s="4"/>
      <c r="C27" s="4"/>
      <c r="D27" s="4" t="s">
        <v>44</v>
      </c>
      <c r="E27" s="23">
        <f>VLOOKUP($F$16,'tra thép Z'!$A$16:$AC$45,11,0)</f>
        <v>25.461</v>
      </c>
      <c r="F27" s="24" t="s">
        <v>62</v>
      </c>
      <c r="G27" s="4"/>
      <c r="H27" s="4"/>
      <c r="I27" s="5"/>
    </row>
    <row r="28" spans="1:9" ht="16.5">
      <c r="A28" s="11"/>
      <c r="B28" s="4"/>
      <c r="C28" s="4"/>
      <c r="D28" s="4" t="s">
        <v>43</v>
      </c>
      <c r="E28" s="23">
        <f>VLOOKUP($F$16,'tra thép Z'!$A$16:$AC$45,15,0)</f>
        <v>7.426</v>
      </c>
      <c r="F28" s="24" t="s">
        <v>62</v>
      </c>
      <c r="G28" s="4"/>
      <c r="H28" s="4"/>
      <c r="I28" s="5"/>
    </row>
    <row r="29" spans="1:9" ht="16.5">
      <c r="A29" s="11" t="s">
        <v>59</v>
      </c>
      <c r="B29" s="10"/>
      <c r="C29" s="4"/>
      <c r="D29" s="4" t="s">
        <v>42</v>
      </c>
      <c r="E29" s="23">
        <f>VLOOKUP($F$16,'tra thép Z'!$A$16:$AC$45,2,0)</f>
        <v>4.24</v>
      </c>
      <c r="F29" s="24" t="s">
        <v>63</v>
      </c>
      <c r="G29" s="4"/>
      <c r="H29" s="4"/>
      <c r="I29" s="5"/>
    </row>
    <row r="30" spans="1:9" ht="16.5">
      <c r="A30" s="69" t="s">
        <v>36</v>
      </c>
      <c r="B30" s="9"/>
      <c r="C30" s="4"/>
      <c r="D30" s="4"/>
      <c r="E30" s="4"/>
      <c r="F30" s="23"/>
      <c r="G30" s="4"/>
      <c r="H30" s="4"/>
      <c r="I30" s="5"/>
    </row>
    <row r="31" spans="1:9" ht="18.75">
      <c r="A31" s="11" t="s">
        <v>29</v>
      </c>
      <c r="B31" s="4"/>
      <c r="C31" s="18">
        <v>10</v>
      </c>
      <c r="D31" s="9" t="s">
        <v>55</v>
      </c>
      <c r="E31" s="16" t="s">
        <v>66</v>
      </c>
      <c r="F31" s="18">
        <v>1.1</v>
      </c>
      <c r="G31" s="4" t="s">
        <v>75</v>
      </c>
      <c r="H31" s="4"/>
      <c r="I31" s="71"/>
    </row>
    <row r="32" spans="1:9" ht="18.75">
      <c r="A32" s="11" t="s">
        <v>30</v>
      </c>
      <c r="B32" s="4"/>
      <c r="C32" s="18">
        <v>30</v>
      </c>
      <c r="D32" s="9" t="s">
        <v>55</v>
      </c>
      <c r="E32" s="16" t="s">
        <v>66</v>
      </c>
      <c r="F32" s="18">
        <v>1.3</v>
      </c>
      <c r="G32" s="4" t="s">
        <v>76</v>
      </c>
      <c r="H32" s="4"/>
      <c r="I32" s="71"/>
    </row>
    <row r="33" spans="1:9" ht="18.75">
      <c r="A33" s="11" t="s">
        <v>80</v>
      </c>
      <c r="B33" s="4"/>
      <c r="C33" s="4"/>
      <c r="D33" s="72"/>
      <c r="E33" s="72"/>
      <c r="F33" s="16" t="s">
        <v>81</v>
      </c>
      <c r="G33" s="21">
        <f>((C31+C32)*F12/IF(F14=0,COS(H15),COS(F15))+E29)</f>
        <v>46.0012260356422</v>
      </c>
      <c r="H33" s="9" t="s">
        <v>55</v>
      </c>
      <c r="I33" s="71"/>
    </row>
    <row r="34" spans="1:9" ht="18.75">
      <c r="A34" s="11" t="s">
        <v>64</v>
      </c>
      <c r="B34" s="4"/>
      <c r="C34" s="4"/>
      <c r="D34" s="72"/>
      <c r="E34" s="72"/>
      <c r="F34" s="16" t="s">
        <v>65</v>
      </c>
      <c r="G34" s="21">
        <f>((C31*F31+C32*F32)*F12/IF(F14=0,COS(H15),COS(F15))+E29*1.1)</f>
        <v>56.86553254455275</v>
      </c>
      <c r="H34" s="9" t="s">
        <v>63</v>
      </c>
      <c r="I34" s="71"/>
    </row>
    <row r="35" spans="1:9" ht="18.75">
      <c r="A35" s="11" t="s">
        <v>31</v>
      </c>
      <c r="B35" s="10"/>
      <c r="C35" s="4"/>
      <c r="D35" s="72"/>
      <c r="E35" s="72"/>
      <c r="F35" s="16" t="s">
        <v>82</v>
      </c>
      <c r="G35" s="19">
        <f>G33*IF(F14=0,SIN(H15),SIN(F15))</f>
        <v>13.218355034801304</v>
      </c>
      <c r="H35" s="9" t="s">
        <v>63</v>
      </c>
      <c r="I35" s="73"/>
    </row>
    <row r="36" spans="1:9" ht="18.75">
      <c r="A36" s="11"/>
      <c r="B36" s="10"/>
      <c r="C36" s="4"/>
      <c r="D36" s="72"/>
      <c r="E36" s="72"/>
      <c r="F36" s="16" t="s">
        <v>83</v>
      </c>
      <c r="G36" s="19">
        <f>G33*IF(F14=0,COS(H15),COS(F15))</f>
        <v>44.06118344933768</v>
      </c>
      <c r="H36" s="9" t="s">
        <v>63</v>
      </c>
      <c r="I36" s="73"/>
    </row>
    <row r="37" spans="1:9" ht="18.75">
      <c r="A37" s="11"/>
      <c r="B37" s="10"/>
      <c r="C37" s="4"/>
      <c r="D37" s="72"/>
      <c r="E37" s="72"/>
      <c r="F37" s="16" t="s">
        <v>67</v>
      </c>
      <c r="G37" s="19">
        <f>G34*IF(F14=0,SIN(H15),SIN(F15))</f>
        <v>16.340190538281437</v>
      </c>
      <c r="H37" s="9" t="s">
        <v>63</v>
      </c>
      <c r="I37" s="73"/>
    </row>
    <row r="38" spans="1:9" ht="18.75">
      <c r="A38" s="3"/>
      <c r="B38" s="9"/>
      <c r="C38" s="4"/>
      <c r="D38" s="72"/>
      <c r="E38" s="72"/>
      <c r="F38" s="16" t="s">
        <v>68</v>
      </c>
      <c r="G38" s="19">
        <f>G34*IF(F14=0,COS(H15),COS(F15))</f>
        <v>54.46730179427145</v>
      </c>
      <c r="H38" s="9" t="s">
        <v>63</v>
      </c>
      <c r="I38" s="5"/>
    </row>
    <row r="39" spans="1:9" ht="16.5">
      <c r="A39" s="69" t="s">
        <v>35</v>
      </c>
      <c r="B39" s="9"/>
      <c r="C39" s="4"/>
      <c r="D39" s="4"/>
      <c r="E39" s="4"/>
      <c r="F39" s="4"/>
      <c r="G39" s="4"/>
      <c r="H39" s="4"/>
      <c r="I39" s="5"/>
    </row>
    <row r="40" spans="1:9" ht="18.75">
      <c r="A40" s="3"/>
      <c r="B40" s="4" t="s">
        <v>33</v>
      </c>
      <c r="C40" s="4"/>
      <c r="D40" s="4"/>
      <c r="E40" s="4"/>
      <c r="F40" s="4" t="s">
        <v>4</v>
      </c>
      <c r="G40" s="22">
        <v>2100000</v>
      </c>
      <c r="H40" s="9" t="s">
        <v>48</v>
      </c>
      <c r="I40" s="5"/>
    </row>
    <row r="41" spans="1:9" ht="18.75">
      <c r="A41" s="3"/>
      <c r="B41" s="4" t="s">
        <v>32</v>
      </c>
      <c r="C41" s="4"/>
      <c r="D41" s="4"/>
      <c r="E41" s="4"/>
      <c r="F41" s="4" t="s">
        <v>3</v>
      </c>
      <c r="G41" s="82">
        <v>2100</v>
      </c>
      <c r="H41" s="9" t="s">
        <v>48</v>
      </c>
      <c r="I41" s="5"/>
    </row>
    <row r="42" spans="1:9" ht="16.5">
      <c r="A42" s="69" t="s">
        <v>37</v>
      </c>
      <c r="B42" s="9"/>
      <c r="C42" s="4"/>
      <c r="D42" s="4"/>
      <c r="E42" s="4"/>
      <c r="F42" s="4"/>
      <c r="G42" s="4"/>
      <c r="H42" s="4"/>
      <c r="I42" s="5"/>
    </row>
    <row r="43" spans="1:9" ht="16.5">
      <c r="A43" s="74" t="s">
        <v>38</v>
      </c>
      <c r="B43" s="4"/>
      <c r="C43" s="4"/>
      <c r="D43" s="9" t="s">
        <v>70</v>
      </c>
      <c r="E43" s="4"/>
      <c r="F43" s="4"/>
      <c r="G43" s="4"/>
      <c r="H43" s="4"/>
      <c r="I43" s="71"/>
    </row>
    <row r="44" spans="1:9" ht="18.75">
      <c r="A44" s="11" t="s">
        <v>56</v>
      </c>
      <c r="B44" s="4"/>
      <c r="C44" s="4"/>
      <c r="D44" s="20" t="s">
        <v>71</v>
      </c>
      <c r="E44" s="16" t="s">
        <v>49</v>
      </c>
      <c r="F44" s="21">
        <f>IF(D44="L/2",G38*F9*F9/8,IF(D44="L/3",G38*F9*F9/8,0))</f>
        <v>245.1028580742215</v>
      </c>
      <c r="G44" s="9" t="s">
        <v>50</v>
      </c>
      <c r="H44" s="4" t="s">
        <v>69</v>
      </c>
      <c r="I44" s="71"/>
    </row>
    <row r="45" spans="1:9" ht="16.5">
      <c r="A45" s="74" t="s">
        <v>39</v>
      </c>
      <c r="B45" s="4"/>
      <c r="C45" s="4"/>
      <c r="D45" s="9" t="s">
        <v>84</v>
      </c>
      <c r="E45" s="16"/>
      <c r="F45" s="2"/>
      <c r="G45" s="9"/>
      <c r="H45" s="4"/>
      <c r="I45" s="71"/>
    </row>
    <row r="46" spans="1:9" ht="16.5">
      <c r="A46" s="11" t="s">
        <v>56</v>
      </c>
      <c r="B46" s="4"/>
      <c r="C46" s="4"/>
      <c r="D46" s="20" t="str">
        <f>IF(F13=1,"l/2",IF(F13=2,"l/3","NHẬP SỐ TY GIẰNG"))</f>
        <v>l/2</v>
      </c>
      <c r="E46" s="16" t="s">
        <v>51</v>
      </c>
      <c r="F46" s="21">
        <f>IF(D46="l/2",G37*F9*F9/32,IF(D46="l/3",G37*F9*F9/90,0))</f>
        <v>18.38271435556662</v>
      </c>
      <c r="G46" s="9" t="s">
        <v>50</v>
      </c>
      <c r="H46" s="4" t="str">
        <f>IF(D46="L/2","My =(qx*l^2)/32","My =(qx*l^2)/90")</f>
        <v>My =(qx*l^2)/32</v>
      </c>
      <c r="I46" s="71"/>
    </row>
    <row r="47" spans="1:9" ht="18.75">
      <c r="A47" s="11" t="s">
        <v>52</v>
      </c>
      <c r="B47" s="83">
        <f>((F44/E27)+(F46/E28))*100</f>
        <v>1210.2052873090506</v>
      </c>
      <c r="C47" s="4" t="s">
        <v>34</v>
      </c>
      <c r="D47" s="23" t="str">
        <f>IF(B47&lt;=F47,"&lt;=","&gt;")</f>
        <v>&lt;=</v>
      </c>
      <c r="E47" s="4" t="s">
        <v>53</v>
      </c>
      <c r="F47" s="25">
        <f>G41</f>
        <v>2100</v>
      </c>
      <c r="G47" s="9" t="s">
        <v>48</v>
      </c>
      <c r="H47" s="84" t="str">
        <f>IF(B47&lt;=F47,"OK","Check")</f>
        <v>OK</v>
      </c>
      <c r="I47" s="71"/>
    </row>
    <row r="48" spans="1:9" ht="16.5">
      <c r="A48" s="69" t="s">
        <v>172</v>
      </c>
      <c r="B48" s="4"/>
      <c r="C48" s="4"/>
      <c r="D48" s="4"/>
      <c r="E48" s="4"/>
      <c r="F48" s="4"/>
      <c r="G48" s="2"/>
      <c r="H48" s="2"/>
      <c r="I48" s="71"/>
    </row>
    <row r="49" spans="1:9" ht="30.75" customHeight="1">
      <c r="A49" s="69"/>
      <c r="B49" s="4" t="s">
        <v>38</v>
      </c>
      <c r="C49" s="4"/>
      <c r="D49" s="4"/>
      <c r="E49" s="16" t="s">
        <v>171</v>
      </c>
      <c r="F49" s="26">
        <f>(5*G36*10^-2*(F10*100)^4)/(384*$G$40*E25)</f>
        <v>1.818234989597444</v>
      </c>
      <c r="G49" s="65" t="s">
        <v>5</v>
      </c>
      <c r="H49" s="2"/>
      <c r="I49" s="71"/>
    </row>
    <row r="50" spans="1:9" ht="41.25" customHeight="1">
      <c r="A50" s="3"/>
      <c r="B50" s="4" t="s">
        <v>39</v>
      </c>
      <c r="C50" s="4"/>
      <c r="D50" s="4"/>
      <c r="E50" s="16" t="s">
        <v>171</v>
      </c>
      <c r="F50" s="26">
        <f>(5*G35*10^-2*(F11*100)^4)/(384*$G$40*E26)</f>
        <v>0.1363123233989315</v>
      </c>
      <c r="G50" s="65" t="s">
        <v>5</v>
      </c>
      <c r="H50" s="2"/>
      <c r="I50" s="71"/>
    </row>
    <row r="51" spans="1:9" ht="29.25" customHeight="1">
      <c r="A51" s="3"/>
      <c r="B51" s="4"/>
      <c r="C51" s="4"/>
      <c r="D51" s="4"/>
      <c r="E51" s="16" t="s">
        <v>171</v>
      </c>
      <c r="F51" s="27">
        <f>(SQRT(F49^2+F50^2))</f>
        <v>1.8233374692872495</v>
      </c>
      <c r="G51" s="65" t="s">
        <v>5</v>
      </c>
      <c r="H51" s="4"/>
      <c r="I51" s="5"/>
    </row>
    <row r="52" spans="1:9" ht="39" customHeight="1">
      <c r="A52" s="3"/>
      <c r="B52" s="4" t="s">
        <v>41</v>
      </c>
      <c r="C52" s="4"/>
      <c r="D52" s="4"/>
      <c r="E52" s="4" t="s">
        <v>85</v>
      </c>
      <c r="F52" s="27">
        <f>F51/(F9*100)</f>
        <v>0.003038895782145416</v>
      </c>
      <c r="G52" s="9" t="s">
        <v>5</v>
      </c>
      <c r="H52" s="4"/>
      <c r="I52" s="5"/>
    </row>
    <row r="53" spans="1:9" ht="45.75" customHeight="1" thickBot="1">
      <c r="A53" s="6"/>
      <c r="B53" s="7" t="s">
        <v>40</v>
      </c>
      <c r="C53" s="7"/>
      <c r="D53" s="7"/>
      <c r="E53" s="7" t="s">
        <v>86</v>
      </c>
      <c r="F53" s="75">
        <f>1/200</f>
        <v>0.005</v>
      </c>
      <c r="G53" s="15" t="s">
        <v>5</v>
      </c>
      <c r="H53" s="76" t="str">
        <f>IF(F52&lt;=F53,"OK","NO")</f>
        <v>OK</v>
      </c>
      <c r="I53" s="8"/>
    </row>
    <row r="54" ht="17.25" thickTop="1"/>
  </sheetData>
  <sheetProtection/>
  <mergeCells count="7">
    <mergeCell ref="A2:C2"/>
    <mergeCell ref="A3:C3"/>
    <mergeCell ref="D3:I3"/>
    <mergeCell ref="A4:C4"/>
    <mergeCell ref="D4:I4"/>
    <mergeCell ref="A1:I1"/>
    <mergeCell ref="D2:I2"/>
  </mergeCells>
  <dataValidations count="1">
    <dataValidation type="list" allowBlank="1" showInputMessage="1" showErrorMessage="1" sqref="F17">
      <formula1>tXAGO</formula1>
    </dataValidation>
  </dataValidations>
  <printOptions horizontalCentered="1"/>
  <pageMargins left="0.7" right="0.3" top="0.75" bottom="0.5" header="0.3" footer="0.3"/>
  <pageSetup fitToHeight="100" horizontalDpi="1200" verticalDpi="1200" orientation="portrait" paperSize="9" scale="11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A1:M51"/>
  <sheetViews>
    <sheetView showGridLines="0" zoomScalePageLayoutView="0" workbookViewId="0" topLeftCell="A46">
      <selection activeCell="A5" sqref="A5"/>
    </sheetView>
  </sheetViews>
  <sheetFormatPr defaultColWidth="8.88671875" defaultRowHeight="16.5"/>
  <cols>
    <col min="1" max="1" width="3.5546875" style="0" customWidth="1"/>
    <col min="2" max="2" width="4.77734375" style="0" customWidth="1"/>
    <col min="3" max="3" width="5.99609375" style="0" customWidth="1"/>
    <col min="4" max="4" width="5.3359375" style="0" customWidth="1"/>
    <col min="5" max="5" width="7.6640625" style="0" customWidth="1"/>
    <col min="6" max="6" width="13.21484375" style="0" customWidth="1"/>
    <col min="7" max="7" width="7.88671875" style="0" customWidth="1"/>
    <col min="8" max="8" width="8.10546875" style="0" customWidth="1"/>
    <col min="9" max="9" width="10.10546875" style="0" customWidth="1"/>
    <col min="10" max="10" width="4.77734375" style="0" customWidth="1"/>
    <col min="11" max="11" width="10.10546875" style="0" customWidth="1"/>
    <col min="13" max="13" width="10.4453125" style="0" bestFit="1" customWidth="1"/>
  </cols>
  <sheetData>
    <row r="1" spans="1:9" ht="25.5" customHeight="1">
      <c r="A1" s="66" t="s">
        <v>77</v>
      </c>
      <c r="B1" s="67"/>
      <c r="C1" s="67"/>
      <c r="D1" s="67"/>
      <c r="E1" s="67"/>
      <c r="F1" s="67"/>
      <c r="G1" s="67"/>
      <c r="H1" s="67"/>
      <c r="I1" s="68"/>
    </row>
    <row r="2" spans="1:12" ht="16.5" customHeight="1">
      <c r="A2" s="86" t="s">
        <v>173</v>
      </c>
      <c r="B2" s="87"/>
      <c r="C2" s="87"/>
      <c r="D2" s="88"/>
      <c r="E2" s="88"/>
      <c r="F2" s="88"/>
      <c r="G2" s="88"/>
      <c r="H2" s="88"/>
      <c r="I2" s="89"/>
      <c r="L2" s="1"/>
    </row>
    <row r="3" spans="1:9" ht="16.5">
      <c r="A3" s="90" t="s">
        <v>174</v>
      </c>
      <c r="B3" s="91"/>
      <c r="C3" s="100"/>
      <c r="D3" s="98"/>
      <c r="E3" s="92"/>
      <c r="F3" s="92"/>
      <c r="G3" s="92"/>
      <c r="H3" s="92"/>
      <c r="I3" s="93"/>
    </row>
    <row r="4" spans="1:9" ht="17.25" thickBot="1">
      <c r="A4" s="94" t="s">
        <v>175</v>
      </c>
      <c r="B4" s="95"/>
      <c r="C4" s="101"/>
      <c r="D4" s="99"/>
      <c r="E4" s="96"/>
      <c r="F4" s="96"/>
      <c r="G4" s="96"/>
      <c r="H4" s="96"/>
      <c r="I4" s="97"/>
    </row>
    <row r="5" spans="1:9" ht="17.25" thickTop="1">
      <c r="A5" s="12" t="s">
        <v>6</v>
      </c>
      <c r="B5" s="13"/>
      <c r="C5" s="13"/>
      <c r="D5" s="13"/>
      <c r="E5" s="13"/>
      <c r="F5" s="13"/>
      <c r="G5" s="13"/>
      <c r="H5" s="13"/>
      <c r="I5" s="14"/>
    </row>
    <row r="6" spans="1:9" ht="16.5">
      <c r="A6" s="11"/>
      <c r="B6" s="23" t="s">
        <v>72</v>
      </c>
      <c r="C6" s="4"/>
      <c r="D6" s="4"/>
      <c r="E6" s="4"/>
      <c r="F6" s="4"/>
      <c r="G6" s="4"/>
      <c r="H6" s="4"/>
      <c r="I6" s="5"/>
    </row>
    <row r="7" spans="1:9" ht="16.5">
      <c r="A7" s="69" t="s">
        <v>7</v>
      </c>
      <c r="B7" s="85"/>
      <c r="C7" s="85"/>
      <c r="D7" s="85"/>
      <c r="E7" s="85"/>
      <c r="F7" s="85"/>
      <c r="G7" s="85"/>
      <c r="H7" s="85"/>
      <c r="I7" s="77"/>
    </row>
    <row r="8" spans="1:9" ht="16.5">
      <c r="A8" s="69" t="s">
        <v>8</v>
      </c>
      <c r="B8" s="4"/>
      <c r="C8" s="4"/>
      <c r="D8" s="4"/>
      <c r="E8" s="4"/>
      <c r="F8" s="4"/>
      <c r="G8" s="4"/>
      <c r="H8" s="4"/>
      <c r="I8" s="5"/>
    </row>
    <row r="9" spans="1:9" ht="16.5">
      <c r="A9" s="3"/>
      <c r="B9" s="4" t="s">
        <v>78</v>
      </c>
      <c r="C9" s="4"/>
      <c r="D9" s="4"/>
      <c r="E9" s="4" t="s">
        <v>12</v>
      </c>
      <c r="F9" s="17">
        <v>6</v>
      </c>
      <c r="G9" s="9" t="s">
        <v>2</v>
      </c>
      <c r="H9" s="4"/>
      <c r="I9" s="5"/>
    </row>
    <row r="10" spans="1:9" ht="16.5">
      <c r="A10" s="3"/>
      <c r="B10" s="4"/>
      <c r="C10" s="4"/>
      <c r="D10" s="4"/>
      <c r="E10" s="4" t="s">
        <v>87</v>
      </c>
      <c r="F10" s="17">
        <f>F9</f>
        <v>6</v>
      </c>
      <c r="G10" s="9" t="s">
        <v>2</v>
      </c>
      <c r="H10" s="4"/>
      <c r="I10" s="5"/>
    </row>
    <row r="11" spans="1:9" ht="16.5">
      <c r="A11" s="3"/>
      <c r="B11" s="4"/>
      <c r="C11" s="4"/>
      <c r="D11" s="4"/>
      <c r="E11" s="4" t="s">
        <v>88</v>
      </c>
      <c r="F11" s="17">
        <f>IF(F13=1,F9/2,IF(F13=2,F9/3,"Kiểm Tra lại"))</f>
        <v>3</v>
      </c>
      <c r="G11" s="9" t="s">
        <v>2</v>
      </c>
      <c r="H11" s="4"/>
      <c r="I11" s="5"/>
    </row>
    <row r="12" spans="1:9" ht="16.5">
      <c r="A12" s="3"/>
      <c r="B12" s="4" t="s">
        <v>9</v>
      </c>
      <c r="C12" s="4"/>
      <c r="D12" s="4"/>
      <c r="E12" s="4" t="s">
        <v>13</v>
      </c>
      <c r="F12" s="17">
        <v>1</v>
      </c>
      <c r="G12" s="9" t="s">
        <v>2</v>
      </c>
      <c r="H12" s="4"/>
      <c r="I12" s="5"/>
    </row>
    <row r="13" spans="1:9" ht="16.5">
      <c r="A13" s="3"/>
      <c r="B13" s="4" t="s">
        <v>79</v>
      </c>
      <c r="C13" s="4"/>
      <c r="D13" s="4"/>
      <c r="E13" s="4" t="s">
        <v>14</v>
      </c>
      <c r="F13" s="17">
        <v>1</v>
      </c>
      <c r="G13" s="9" t="s">
        <v>17</v>
      </c>
      <c r="H13" s="4"/>
      <c r="I13" s="5"/>
    </row>
    <row r="14" spans="1:9" ht="16.5">
      <c r="A14" s="3"/>
      <c r="B14" s="4" t="s">
        <v>10</v>
      </c>
      <c r="C14" s="4"/>
      <c r="D14" s="4"/>
      <c r="E14" s="4" t="s">
        <v>15</v>
      </c>
      <c r="F14" s="17">
        <v>30</v>
      </c>
      <c r="G14" s="9" t="s">
        <v>90</v>
      </c>
      <c r="H14" s="30">
        <v>0</v>
      </c>
      <c r="I14" s="70" t="s">
        <v>89</v>
      </c>
    </row>
    <row r="15" spans="1:9" ht="16.5">
      <c r="A15" s="3"/>
      <c r="B15" s="4" t="s">
        <v>11</v>
      </c>
      <c r="C15" s="4"/>
      <c r="D15" s="4"/>
      <c r="E15" s="78" t="s">
        <v>16</v>
      </c>
      <c r="F15" s="79">
        <f>ATAN(F14/100)</f>
        <v>0.2914567944778671</v>
      </c>
      <c r="G15" s="9" t="s">
        <v>91</v>
      </c>
      <c r="H15" s="29">
        <f>RADIANS(H14)</f>
        <v>0</v>
      </c>
      <c r="I15" s="70" t="s">
        <v>18</v>
      </c>
    </row>
    <row r="16" spans="1:9" ht="16.5">
      <c r="A16" s="69" t="s">
        <v>19</v>
      </c>
      <c r="B16" s="85"/>
      <c r="C16" s="85"/>
      <c r="D16" s="85"/>
      <c r="E16" s="80" t="s">
        <v>58</v>
      </c>
      <c r="F16" s="81" t="s">
        <v>170</v>
      </c>
      <c r="G16" s="85"/>
      <c r="H16" s="85"/>
      <c r="I16" s="77"/>
    </row>
    <row r="17" spans="1:9" ht="16.5">
      <c r="A17" s="3"/>
      <c r="B17" s="4" t="s">
        <v>20</v>
      </c>
      <c r="C17" s="4"/>
      <c r="D17" s="4"/>
      <c r="E17" s="4" t="s">
        <v>1</v>
      </c>
      <c r="F17" s="23">
        <f>VLOOKUP($F$16,'tra thép C'!$A$8:$Q$31,3,0)</f>
        <v>175</v>
      </c>
      <c r="G17" s="9" t="s">
        <v>0</v>
      </c>
      <c r="H17" s="4"/>
      <c r="I17" s="5"/>
    </row>
    <row r="18" spans="1:9" ht="16.5">
      <c r="A18" s="3"/>
      <c r="B18" s="4" t="s">
        <v>21</v>
      </c>
      <c r="C18" s="4"/>
      <c r="D18" s="4"/>
      <c r="E18" s="4" t="s">
        <v>74</v>
      </c>
      <c r="F18" s="23">
        <f>VLOOKUP($F$16,'tra thép C'!$A$8:$Q$31,4,0)</f>
        <v>50</v>
      </c>
      <c r="G18" s="9" t="s">
        <v>0</v>
      </c>
      <c r="H18" s="4"/>
      <c r="I18" s="5"/>
    </row>
    <row r="19" spans="1:9" ht="16.5">
      <c r="A19" s="3"/>
      <c r="B19" s="4" t="s">
        <v>168</v>
      </c>
      <c r="C19" s="4"/>
      <c r="D19" s="4"/>
      <c r="E19" s="4" t="s">
        <v>73</v>
      </c>
      <c r="F19" s="23">
        <f>VLOOKUP($F$16,'tra thép C'!$A$8:$Q$31,5,0)</f>
        <v>20</v>
      </c>
      <c r="G19" s="9" t="s">
        <v>0</v>
      </c>
      <c r="H19" s="4"/>
      <c r="I19" s="5"/>
    </row>
    <row r="20" spans="1:9" ht="16.5">
      <c r="A20" s="3"/>
      <c r="B20" s="4" t="s">
        <v>169</v>
      </c>
      <c r="C20" s="4"/>
      <c r="D20" s="4"/>
      <c r="E20" s="4" t="s">
        <v>28</v>
      </c>
      <c r="F20" s="23">
        <f>VLOOKUP($F$16,'tra thép C'!$A$8:$Q$31,6,0)</f>
        <v>2</v>
      </c>
      <c r="G20" s="9" t="s">
        <v>0</v>
      </c>
      <c r="H20" s="4"/>
      <c r="I20" s="5"/>
    </row>
    <row r="21" spans="1:9" ht="16.5">
      <c r="A21" s="69" t="s">
        <v>57</v>
      </c>
      <c r="B21" s="9"/>
      <c r="C21" s="4"/>
      <c r="D21" s="4"/>
      <c r="E21" s="4"/>
      <c r="F21" s="4"/>
      <c r="G21" s="4"/>
      <c r="H21" s="4"/>
      <c r="I21" s="5"/>
    </row>
    <row r="22" spans="1:9" ht="16.5">
      <c r="A22" s="11" t="s">
        <v>22</v>
      </c>
      <c r="B22" s="4"/>
      <c r="C22" s="4"/>
      <c r="D22" s="4" t="s">
        <v>47</v>
      </c>
      <c r="E22" s="23">
        <f>VLOOKUP($F$16,'tra thép C'!$A$8:$Q$31,9,0)</f>
        <v>6.14</v>
      </c>
      <c r="F22" s="24" t="s">
        <v>60</v>
      </c>
      <c r="G22" s="4"/>
      <c r="H22" s="4"/>
      <c r="I22" s="5"/>
    </row>
    <row r="23" spans="1:13" ht="16.5">
      <c r="A23" s="11" t="s">
        <v>23</v>
      </c>
      <c r="B23" s="4"/>
      <c r="C23" s="4"/>
      <c r="D23" s="4" t="s">
        <v>46</v>
      </c>
      <c r="E23" s="23">
        <f>VLOOKUP($F$16,'tra thép C'!$A$8:$Q$31,10,0)</f>
        <v>275.319</v>
      </c>
      <c r="F23" s="24" t="s">
        <v>61</v>
      </c>
      <c r="G23" s="4"/>
      <c r="H23" s="4"/>
      <c r="I23" s="5"/>
      <c r="M23" s="28"/>
    </row>
    <row r="24" spans="1:9" ht="16.5">
      <c r="A24" s="11"/>
      <c r="B24" s="4"/>
      <c r="C24" s="4"/>
      <c r="D24" s="4" t="s">
        <v>45</v>
      </c>
      <c r="E24" s="23">
        <f>VLOOKUP($F$16,'tra thép C'!$A$8:$Q$31,14,0)</f>
        <v>21.188</v>
      </c>
      <c r="F24" s="24" t="s">
        <v>61</v>
      </c>
      <c r="G24" s="4"/>
      <c r="H24" s="4"/>
      <c r="I24" s="5"/>
    </row>
    <row r="25" spans="1:9" ht="16.5">
      <c r="A25" s="11" t="s">
        <v>24</v>
      </c>
      <c r="B25" s="4"/>
      <c r="C25" s="4"/>
      <c r="D25" s="4" t="s">
        <v>44</v>
      </c>
      <c r="E25" s="23">
        <f>VLOOKUP($F$16,'tra thép C'!$A$8:$Q$31,11,0)</f>
        <v>15.733</v>
      </c>
      <c r="F25" s="24" t="s">
        <v>62</v>
      </c>
      <c r="G25" s="4"/>
      <c r="H25" s="4"/>
      <c r="I25" s="5"/>
    </row>
    <row r="26" spans="1:9" ht="16.5">
      <c r="A26" s="11"/>
      <c r="B26" s="4"/>
      <c r="C26" s="4"/>
      <c r="D26" s="4" t="s">
        <v>43</v>
      </c>
      <c r="E26" s="23">
        <f>VLOOKUP($F$16,'tra thép C'!$A$8:$Q$31,15,0)</f>
        <v>6.132</v>
      </c>
      <c r="F26" s="24" t="s">
        <v>62</v>
      </c>
      <c r="G26" s="4"/>
      <c r="H26" s="4"/>
      <c r="I26" s="5"/>
    </row>
    <row r="27" spans="1:9" ht="16.5">
      <c r="A27" s="11" t="s">
        <v>59</v>
      </c>
      <c r="B27" s="10"/>
      <c r="C27" s="4"/>
      <c r="D27" s="4" t="s">
        <v>42</v>
      </c>
      <c r="E27" s="23">
        <f>VLOOKUP($F$16,'tra thép C'!$A$8:$Q$31,2,0)</f>
        <v>4.82</v>
      </c>
      <c r="F27" s="24" t="s">
        <v>63</v>
      </c>
      <c r="G27" s="4"/>
      <c r="H27" s="4"/>
      <c r="I27" s="5"/>
    </row>
    <row r="28" spans="1:9" ht="16.5">
      <c r="A28" s="69" t="s">
        <v>36</v>
      </c>
      <c r="B28" s="9"/>
      <c r="C28" s="4"/>
      <c r="D28" s="4"/>
      <c r="E28" s="4"/>
      <c r="F28" s="23"/>
      <c r="G28" s="4"/>
      <c r="H28" s="4"/>
      <c r="I28" s="5"/>
    </row>
    <row r="29" spans="1:9" ht="18.75">
      <c r="A29" s="11" t="s">
        <v>29</v>
      </c>
      <c r="B29" s="4"/>
      <c r="C29" s="18">
        <v>10</v>
      </c>
      <c r="D29" s="9" t="s">
        <v>55</v>
      </c>
      <c r="E29" s="16" t="s">
        <v>66</v>
      </c>
      <c r="F29" s="18">
        <v>1.1</v>
      </c>
      <c r="G29" s="4" t="s">
        <v>75</v>
      </c>
      <c r="H29" s="4"/>
      <c r="I29" s="71"/>
    </row>
    <row r="30" spans="1:9" ht="18.75">
      <c r="A30" s="11" t="s">
        <v>30</v>
      </c>
      <c r="B30" s="4"/>
      <c r="C30" s="18">
        <v>30</v>
      </c>
      <c r="D30" s="9" t="s">
        <v>55</v>
      </c>
      <c r="E30" s="16" t="s">
        <v>66</v>
      </c>
      <c r="F30" s="18">
        <v>1.3</v>
      </c>
      <c r="G30" s="4" t="s">
        <v>76</v>
      </c>
      <c r="H30" s="4"/>
      <c r="I30" s="71"/>
    </row>
    <row r="31" spans="1:9" ht="18.75">
      <c r="A31" s="11" t="s">
        <v>80</v>
      </c>
      <c r="B31" s="4"/>
      <c r="C31" s="4"/>
      <c r="D31" s="72"/>
      <c r="E31" s="72"/>
      <c r="F31" s="16" t="s">
        <v>81</v>
      </c>
      <c r="G31" s="21">
        <f>((C29+C30)*F12/IF(F14=0,COS(H15),COS(F15))+E27)</f>
        <v>46.581226035642196</v>
      </c>
      <c r="H31" s="9" t="s">
        <v>55</v>
      </c>
      <c r="I31" s="71"/>
    </row>
    <row r="32" spans="1:9" ht="18.75">
      <c r="A32" s="11" t="s">
        <v>64</v>
      </c>
      <c r="B32" s="4"/>
      <c r="C32" s="4"/>
      <c r="D32" s="72"/>
      <c r="E32" s="72"/>
      <c r="F32" s="16" t="s">
        <v>65</v>
      </c>
      <c r="G32" s="21">
        <f>((C29*F29+C30*F30)*F12/IF(F14=0,COS(H15),COS(F15))+E27*1.1)</f>
        <v>57.50353254455275</v>
      </c>
      <c r="H32" s="9" t="s">
        <v>63</v>
      </c>
      <c r="I32" s="71"/>
    </row>
    <row r="33" spans="1:9" ht="18.75">
      <c r="A33" s="11" t="s">
        <v>31</v>
      </c>
      <c r="B33" s="10"/>
      <c r="C33" s="4"/>
      <c r="D33" s="72"/>
      <c r="E33" s="72"/>
      <c r="F33" s="16" t="s">
        <v>82</v>
      </c>
      <c r="G33" s="19">
        <f>G31*IF(F14=0,SIN(H15),SIN(F15))</f>
        <v>13.385016808429784</v>
      </c>
      <c r="H33" s="9" t="s">
        <v>63</v>
      </c>
      <c r="I33" s="73"/>
    </row>
    <row r="34" spans="1:9" ht="18.75">
      <c r="A34" s="11"/>
      <c r="B34" s="10"/>
      <c r="C34" s="4"/>
      <c r="D34" s="72"/>
      <c r="E34" s="72"/>
      <c r="F34" s="16" t="s">
        <v>83</v>
      </c>
      <c r="G34" s="19">
        <f>G31*IF(F14=0,COS(H15),COS(F15))</f>
        <v>44.61672269476595</v>
      </c>
      <c r="H34" s="9" t="s">
        <v>63</v>
      </c>
      <c r="I34" s="73"/>
    </row>
    <row r="35" spans="1:9" ht="18.75">
      <c r="A35" s="11"/>
      <c r="B35" s="10"/>
      <c r="C35" s="4"/>
      <c r="D35" s="72"/>
      <c r="E35" s="72"/>
      <c r="F35" s="16" t="s">
        <v>67</v>
      </c>
      <c r="G35" s="19">
        <f>G32*IF(F14=0,SIN(H15),SIN(F15))</f>
        <v>16.523518489272764</v>
      </c>
      <c r="H35" s="9" t="s">
        <v>63</v>
      </c>
      <c r="I35" s="73"/>
    </row>
    <row r="36" spans="1:9" ht="18.75">
      <c r="A36" s="3"/>
      <c r="B36" s="9"/>
      <c r="C36" s="4"/>
      <c r="D36" s="72"/>
      <c r="E36" s="72"/>
      <c r="F36" s="16" t="s">
        <v>68</v>
      </c>
      <c r="G36" s="19">
        <f>G32*IF(F14=0,COS(H15),COS(F15))</f>
        <v>55.07839496424254</v>
      </c>
      <c r="H36" s="9" t="s">
        <v>63</v>
      </c>
      <c r="I36" s="5"/>
    </row>
    <row r="37" spans="1:9" ht="16.5">
      <c r="A37" s="69" t="s">
        <v>35</v>
      </c>
      <c r="B37" s="9"/>
      <c r="C37" s="4"/>
      <c r="D37" s="4"/>
      <c r="E37" s="4"/>
      <c r="F37" s="4"/>
      <c r="G37" s="4"/>
      <c r="H37" s="4"/>
      <c r="I37" s="5"/>
    </row>
    <row r="38" spans="1:9" ht="18.75">
      <c r="A38" s="3"/>
      <c r="B38" s="4" t="s">
        <v>33</v>
      </c>
      <c r="C38" s="4"/>
      <c r="D38" s="4"/>
      <c r="E38" s="4"/>
      <c r="F38" s="4" t="s">
        <v>4</v>
      </c>
      <c r="G38" s="22">
        <v>2100000</v>
      </c>
      <c r="H38" s="9" t="s">
        <v>48</v>
      </c>
      <c r="I38" s="5"/>
    </row>
    <row r="39" spans="1:9" ht="18.75">
      <c r="A39" s="3"/>
      <c r="B39" s="4" t="s">
        <v>32</v>
      </c>
      <c r="C39" s="4"/>
      <c r="D39" s="4"/>
      <c r="E39" s="4"/>
      <c r="F39" s="4" t="s">
        <v>3</v>
      </c>
      <c r="G39" s="82">
        <v>2100</v>
      </c>
      <c r="H39" s="9" t="s">
        <v>48</v>
      </c>
      <c r="I39" s="5"/>
    </row>
    <row r="40" spans="1:9" ht="16.5">
      <c r="A40" s="69" t="s">
        <v>37</v>
      </c>
      <c r="B40" s="9"/>
      <c r="C40" s="4"/>
      <c r="D40" s="4"/>
      <c r="E40" s="4"/>
      <c r="F40" s="4"/>
      <c r="G40" s="4"/>
      <c r="H40" s="4"/>
      <c r="I40" s="5"/>
    </row>
    <row r="41" spans="1:9" ht="16.5">
      <c r="A41" s="74" t="s">
        <v>38</v>
      </c>
      <c r="B41" s="4"/>
      <c r="C41" s="4"/>
      <c r="D41" s="9" t="s">
        <v>70</v>
      </c>
      <c r="E41" s="4"/>
      <c r="F41" s="4"/>
      <c r="G41" s="4"/>
      <c r="H41" s="4"/>
      <c r="I41" s="71"/>
    </row>
    <row r="42" spans="1:9" ht="18.75">
      <c r="A42" s="11" t="s">
        <v>56</v>
      </c>
      <c r="B42" s="4"/>
      <c r="C42" s="4"/>
      <c r="D42" s="20" t="s">
        <v>71</v>
      </c>
      <c r="E42" s="16" t="s">
        <v>49</v>
      </c>
      <c r="F42" s="21">
        <f>IF(D42="L/2",G36*F9*F9/8,IF(D42="L/3",G36*F9*F9/8,0))</f>
        <v>247.85277733909146</v>
      </c>
      <c r="G42" s="9" t="s">
        <v>50</v>
      </c>
      <c r="H42" s="4" t="s">
        <v>69</v>
      </c>
      <c r="I42" s="71"/>
    </row>
    <row r="43" spans="1:9" ht="16.5">
      <c r="A43" s="74" t="s">
        <v>39</v>
      </c>
      <c r="B43" s="4"/>
      <c r="C43" s="4"/>
      <c r="D43" s="9" t="s">
        <v>84</v>
      </c>
      <c r="E43" s="16"/>
      <c r="F43" s="2"/>
      <c r="G43" s="9"/>
      <c r="H43" s="4"/>
      <c r="I43" s="71"/>
    </row>
    <row r="44" spans="1:9" ht="16.5">
      <c r="A44" s="11" t="s">
        <v>56</v>
      </c>
      <c r="B44" s="4"/>
      <c r="C44" s="4"/>
      <c r="D44" s="20" t="str">
        <f>IF(F13=1,"l/2",IF(F13=2,"l/3","NHẬP SỐ TY GIẰNG"))</f>
        <v>l/2</v>
      </c>
      <c r="E44" s="16" t="s">
        <v>51</v>
      </c>
      <c r="F44" s="21">
        <f>IF(D44="l/2",G35*F9*F9/32,IF(D44="l/3",G35*F9*F9/90,0))</f>
        <v>18.588958300431862</v>
      </c>
      <c r="G44" s="9" t="s">
        <v>50</v>
      </c>
      <c r="H44" s="4" t="str">
        <f>IF(D44="L/2","My =(qx*l^2)/32","My =(qx*l^2)/90")</f>
        <v>My =(qx*l^2)/32</v>
      </c>
      <c r="I44" s="71"/>
    </row>
    <row r="45" spans="1:9" ht="18.75">
      <c r="A45" s="11" t="s">
        <v>52</v>
      </c>
      <c r="B45" s="83">
        <f>((F42/E25)+(F44/E26))*100</f>
        <v>1878.515568968118</v>
      </c>
      <c r="C45" s="4" t="s">
        <v>34</v>
      </c>
      <c r="D45" s="23" t="str">
        <f>IF(B45&lt;=F45,"&lt;=","&gt;")</f>
        <v>&lt;=</v>
      </c>
      <c r="E45" s="4" t="s">
        <v>53</v>
      </c>
      <c r="F45" s="25">
        <f>G39</f>
        <v>2100</v>
      </c>
      <c r="G45" s="9" t="s">
        <v>48</v>
      </c>
      <c r="H45" s="84" t="str">
        <f>IF(B45&lt;=F45,"OK","Check")</f>
        <v>OK</v>
      </c>
      <c r="I45" s="71"/>
    </row>
    <row r="46" spans="1:9" ht="16.5">
      <c r="A46" s="69" t="s">
        <v>54</v>
      </c>
      <c r="B46" s="4"/>
      <c r="C46" s="4"/>
      <c r="D46" s="4"/>
      <c r="E46" s="4"/>
      <c r="F46" s="4"/>
      <c r="G46" s="2"/>
      <c r="H46" s="2"/>
      <c r="I46" s="71"/>
    </row>
    <row r="47" spans="1:9" ht="33.75" customHeight="1">
      <c r="A47" s="69"/>
      <c r="B47" s="4" t="s">
        <v>38</v>
      </c>
      <c r="C47" s="4"/>
      <c r="D47" s="4"/>
      <c r="E47" s="16" t="s">
        <v>171</v>
      </c>
      <c r="F47" s="26">
        <f>(5*G34*10^-2*(F10*100)^4)/(384*$G$38*E23)</f>
        <v>1.3022248226242414</v>
      </c>
      <c r="G47" s="65" t="s">
        <v>5</v>
      </c>
      <c r="H47" s="2"/>
      <c r="I47" s="71"/>
    </row>
    <row r="48" spans="1:9" ht="35.25" customHeight="1">
      <c r="A48" s="3"/>
      <c r="B48" s="4" t="s">
        <v>39</v>
      </c>
      <c r="C48" s="4"/>
      <c r="D48" s="4"/>
      <c r="E48" s="16" t="s">
        <v>171</v>
      </c>
      <c r="F48" s="26">
        <f>(5*G33*10^-2*(F11*100)^4)/(384*$G$38*E24)</f>
        <v>0.3172732524955903</v>
      </c>
      <c r="G48" s="65" t="s">
        <v>5</v>
      </c>
      <c r="H48" s="2"/>
      <c r="I48" s="71"/>
    </row>
    <row r="49" spans="1:9" ht="31.5" customHeight="1">
      <c r="A49" s="3"/>
      <c r="B49" s="4"/>
      <c r="C49" s="4"/>
      <c r="D49" s="4"/>
      <c r="E49" s="16" t="s">
        <v>171</v>
      </c>
      <c r="F49" s="27">
        <f>(SQRT(F47^2+F48^2))</f>
        <v>1.340317800153332</v>
      </c>
      <c r="G49" s="65" t="s">
        <v>5</v>
      </c>
      <c r="H49" s="4"/>
      <c r="I49" s="5"/>
    </row>
    <row r="50" spans="1:9" ht="16.5">
      <c r="A50" s="3"/>
      <c r="B50" s="4" t="s">
        <v>41</v>
      </c>
      <c r="C50" s="4"/>
      <c r="D50" s="4"/>
      <c r="E50" s="4" t="s">
        <v>85</v>
      </c>
      <c r="F50" s="27">
        <f>F49/(F9*100)</f>
        <v>0.0022338630002555534</v>
      </c>
      <c r="G50" s="9" t="s">
        <v>5</v>
      </c>
      <c r="H50" s="4"/>
      <c r="I50" s="5"/>
    </row>
    <row r="51" spans="1:9" ht="17.25" thickBot="1">
      <c r="A51" s="6"/>
      <c r="B51" s="7" t="s">
        <v>40</v>
      </c>
      <c r="C51" s="7"/>
      <c r="D51" s="7"/>
      <c r="E51" s="7" t="s">
        <v>86</v>
      </c>
      <c r="F51" s="75">
        <f>1/200</f>
        <v>0.005</v>
      </c>
      <c r="G51" s="15" t="s">
        <v>5</v>
      </c>
      <c r="H51" s="76" t="str">
        <f>IF(F50&lt;=F51,"OK","NO")</f>
        <v>OK</v>
      </c>
      <c r="I51" s="8"/>
    </row>
    <row r="52" ht="17.25" thickTop="1"/>
  </sheetData>
  <sheetProtection/>
  <mergeCells count="7">
    <mergeCell ref="A2:C2"/>
    <mergeCell ref="A4:C4"/>
    <mergeCell ref="D4:I4"/>
    <mergeCell ref="A3:C3"/>
    <mergeCell ref="D3:I3"/>
    <mergeCell ref="A1:I1"/>
    <mergeCell ref="D2:I2"/>
  </mergeCells>
  <printOptions horizontalCentered="1"/>
  <pageMargins left="0.7" right="0.3" top="0.75" bottom="0.5" header="0.3" footer="0.3"/>
  <pageSetup fitToHeight="100" horizontalDpi="1200" verticalDpi="1200" orientation="portrait" paperSize="9" scale="11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Q52"/>
  <sheetViews>
    <sheetView zoomScalePageLayoutView="0" workbookViewId="0" topLeftCell="A1">
      <pane xSplit="16" ySplit="15" topLeftCell="AA16" activePane="bottomRight" state="frozen"/>
      <selection pane="topLeft" activeCell="A1" sqref="A1"/>
      <selection pane="topRight" activeCell="Q1" sqref="Q1"/>
      <selection pane="bottomLeft" activeCell="A17" sqref="A17"/>
      <selection pane="bottomRight" activeCell="B16" sqref="B16"/>
    </sheetView>
  </sheetViews>
  <sheetFormatPr defaultColWidth="8.88671875" defaultRowHeight="16.5"/>
  <cols>
    <col min="1" max="1" width="16.10546875" style="33" customWidth="1"/>
    <col min="2" max="2" width="9.10546875" style="32" customWidth="1"/>
    <col min="3" max="3" width="5.99609375" style="32" customWidth="1"/>
    <col min="4" max="5" width="6.77734375" style="32" customWidth="1"/>
    <col min="6" max="6" width="5.99609375" style="32" customWidth="1"/>
    <col min="7" max="7" width="6.5546875" style="32" customWidth="1"/>
    <col min="8" max="8" width="6.4453125" style="32" customWidth="1"/>
    <col min="9" max="9" width="8.5546875" style="32" customWidth="1"/>
    <col min="10" max="10" width="11.4453125" style="32" customWidth="1"/>
    <col min="11" max="11" width="9.6640625" style="32" customWidth="1"/>
    <col min="12" max="12" width="8.5546875" style="32" customWidth="1"/>
    <col min="13" max="13" width="7.10546875" style="32" customWidth="1"/>
    <col min="14" max="14" width="8.77734375" style="32" customWidth="1"/>
    <col min="15" max="15" width="9.10546875" style="32" customWidth="1"/>
    <col min="16" max="16" width="8.5546875" style="32" customWidth="1"/>
    <col min="17" max="17" width="8.3359375" style="32" customWidth="1"/>
    <col min="18" max="237" width="8.88671875" style="32" customWidth="1"/>
    <col min="238" max="238" width="6.77734375" style="32" customWidth="1"/>
    <col min="239" max="239" width="11.88671875" style="32" customWidth="1"/>
    <col min="240" max="244" width="6.77734375" style="32" customWidth="1"/>
    <col min="245" max="245" width="11.88671875" style="32" customWidth="1"/>
    <col min="246" max="253" width="8.3359375" style="32" customWidth="1"/>
    <col min="254" max="16384" width="8.88671875" style="32" customWidth="1"/>
  </cols>
  <sheetData>
    <row r="1" spans="1:17" ht="30" customHeight="1">
      <c r="A1" s="56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31"/>
    </row>
    <row r="2" spans="6:12" ht="19.5" customHeight="1" hidden="1">
      <c r="F2" s="54" t="s">
        <v>93</v>
      </c>
      <c r="G2" s="54"/>
      <c r="H2" s="54"/>
      <c r="I2" s="54"/>
      <c r="J2" s="54"/>
      <c r="K2" s="54"/>
      <c r="L2" s="54"/>
    </row>
    <row r="3" spans="6:12" ht="16.5" hidden="1">
      <c r="F3" s="54" t="s">
        <v>94</v>
      </c>
      <c r="G3" s="54"/>
      <c r="H3" s="54"/>
      <c r="I3" s="54"/>
      <c r="J3" s="54"/>
      <c r="K3" s="54"/>
      <c r="L3" s="54"/>
    </row>
    <row r="4" spans="6:12" ht="16.5" hidden="1">
      <c r="F4" s="54" t="s">
        <v>95</v>
      </c>
      <c r="G4" s="54"/>
      <c r="H4" s="54"/>
      <c r="I4" s="54"/>
      <c r="J4" s="54"/>
      <c r="K4" s="54"/>
      <c r="L4" s="54"/>
    </row>
    <row r="5" spans="6:12" ht="16.5" hidden="1">
      <c r="F5" s="54" t="s">
        <v>96</v>
      </c>
      <c r="G5" s="54"/>
      <c r="H5" s="54"/>
      <c r="I5" s="54"/>
      <c r="J5" s="54"/>
      <c r="K5" s="54"/>
      <c r="L5" s="54"/>
    </row>
    <row r="6" spans="6:12" ht="16.5" hidden="1">
      <c r="F6" s="54" t="s">
        <v>97</v>
      </c>
      <c r="G6" s="54"/>
      <c r="H6" s="54"/>
      <c r="I6" s="54"/>
      <c r="J6" s="54"/>
      <c r="K6" s="54"/>
      <c r="L6" s="54"/>
    </row>
    <row r="7" spans="6:12" ht="16.5" hidden="1">
      <c r="F7" s="54" t="s">
        <v>98</v>
      </c>
      <c r="G7" s="54"/>
      <c r="H7" s="54"/>
      <c r="I7" s="54"/>
      <c r="J7" s="54"/>
      <c r="K7" s="54"/>
      <c r="L7" s="54"/>
    </row>
    <row r="8" spans="6:12" ht="16.5" hidden="1">
      <c r="F8" s="54" t="s">
        <v>99</v>
      </c>
      <c r="G8" s="54"/>
      <c r="H8" s="54"/>
      <c r="I8" s="54"/>
      <c r="J8" s="54"/>
      <c r="K8" s="54"/>
      <c r="L8" s="54"/>
    </row>
    <row r="9" spans="6:12" ht="16.5" hidden="1">
      <c r="F9" s="54" t="s">
        <v>100</v>
      </c>
      <c r="G9" s="54"/>
      <c r="H9" s="54"/>
      <c r="I9" s="54"/>
      <c r="J9" s="54"/>
      <c r="K9" s="54"/>
      <c r="L9" s="54"/>
    </row>
    <row r="10" spans="6:12" ht="16.5" hidden="1">
      <c r="F10" s="55" t="s">
        <v>101</v>
      </c>
      <c r="G10" s="55"/>
      <c r="H10" s="55"/>
      <c r="I10" s="55"/>
      <c r="J10" s="55"/>
      <c r="K10" s="55"/>
      <c r="L10" s="55"/>
    </row>
    <row r="11" spans="1:16" ht="20.25" customHeight="1">
      <c r="A11" s="49" t="s">
        <v>102</v>
      </c>
      <c r="B11" s="49" t="s">
        <v>103</v>
      </c>
      <c r="C11" s="53" t="s">
        <v>104</v>
      </c>
      <c r="D11" s="53"/>
      <c r="E11" s="53"/>
      <c r="F11" s="53"/>
      <c r="G11" s="53"/>
      <c r="H11" s="53"/>
      <c r="I11" s="49" t="s">
        <v>105</v>
      </c>
      <c r="J11" s="49" t="s">
        <v>106</v>
      </c>
      <c r="K11" s="49" t="s">
        <v>107</v>
      </c>
      <c r="L11" s="52" t="s">
        <v>108</v>
      </c>
      <c r="M11" s="49" t="s">
        <v>109</v>
      </c>
      <c r="N11" s="49" t="s">
        <v>110</v>
      </c>
      <c r="O11" s="49" t="s">
        <v>111</v>
      </c>
      <c r="P11" s="52" t="s">
        <v>112</v>
      </c>
    </row>
    <row r="12" spans="1:16" ht="16.5" customHeight="1">
      <c r="A12" s="50"/>
      <c r="B12" s="50"/>
      <c r="C12" s="53" t="s">
        <v>125</v>
      </c>
      <c r="D12" s="53" t="s">
        <v>126</v>
      </c>
      <c r="E12" s="53" t="s">
        <v>127</v>
      </c>
      <c r="F12" s="53" t="s">
        <v>128</v>
      </c>
      <c r="G12" s="53" t="s">
        <v>113</v>
      </c>
      <c r="H12" s="53" t="s">
        <v>114</v>
      </c>
      <c r="I12" s="50"/>
      <c r="J12" s="50"/>
      <c r="K12" s="50"/>
      <c r="L12" s="50"/>
      <c r="M12" s="50"/>
      <c r="N12" s="50"/>
      <c r="O12" s="50"/>
      <c r="P12" s="50"/>
    </row>
    <row r="13" spans="1:16" ht="19.5" customHeight="1">
      <c r="A13" s="50"/>
      <c r="B13" s="50"/>
      <c r="C13" s="53"/>
      <c r="D13" s="53"/>
      <c r="E13" s="53"/>
      <c r="F13" s="53"/>
      <c r="G13" s="53"/>
      <c r="H13" s="53"/>
      <c r="I13" s="50"/>
      <c r="J13" s="51"/>
      <c r="K13" s="51"/>
      <c r="L13" s="51"/>
      <c r="M13" s="51"/>
      <c r="N13" s="51"/>
      <c r="O13" s="51"/>
      <c r="P13" s="51"/>
    </row>
    <row r="14" spans="1:16" ht="30" customHeight="1">
      <c r="A14" s="51"/>
      <c r="B14" s="51"/>
      <c r="C14" s="53"/>
      <c r="D14" s="53"/>
      <c r="E14" s="53"/>
      <c r="F14" s="53"/>
      <c r="G14" s="53"/>
      <c r="H14" s="53"/>
      <c r="I14" s="51"/>
      <c r="J14" s="34" t="s">
        <v>115</v>
      </c>
      <c r="K14" s="34" t="s">
        <v>116</v>
      </c>
      <c r="L14" s="34" t="s">
        <v>117</v>
      </c>
      <c r="M14" s="34" t="s">
        <v>116</v>
      </c>
      <c r="N14" s="34" t="s">
        <v>115</v>
      </c>
      <c r="O14" s="34" t="s">
        <v>116</v>
      </c>
      <c r="P14" s="34" t="s">
        <v>117</v>
      </c>
    </row>
    <row r="15" spans="1:16" ht="15" customHeight="1">
      <c r="A15" s="35">
        <v>1</v>
      </c>
      <c r="B15" s="35">
        <v>2</v>
      </c>
      <c r="C15" s="35">
        <v>3</v>
      </c>
      <c r="D15" s="35">
        <v>4</v>
      </c>
      <c r="E15" s="35">
        <v>5</v>
      </c>
      <c r="F15" s="35">
        <v>6</v>
      </c>
      <c r="G15" s="35">
        <v>7</v>
      </c>
      <c r="H15" s="35">
        <v>8</v>
      </c>
      <c r="I15" s="35">
        <v>9</v>
      </c>
      <c r="J15" s="35">
        <v>10</v>
      </c>
      <c r="K15" s="35">
        <v>11</v>
      </c>
      <c r="L15" s="35">
        <v>12</v>
      </c>
      <c r="M15" s="35">
        <v>13</v>
      </c>
      <c r="N15" s="35">
        <v>14</v>
      </c>
      <c r="O15" s="35">
        <v>15</v>
      </c>
      <c r="P15" s="35">
        <v>16</v>
      </c>
    </row>
    <row r="16" spans="1:16" ht="13.5" customHeight="1">
      <c r="A16" s="36" t="str">
        <f>"Z"&amp;C16&amp;"x"&amp;D16&amp;"x"&amp;G16</f>
        <v>Z150x62x1.8</v>
      </c>
      <c r="B16" s="37">
        <v>4.24</v>
      </c>
      <c r="C16" s="37">
        <v>150</v>
      </c>
      <c r="D16" s="37">
        <v>62</v>
      </c>
      <c r="E16" s="37">
        <v>68</v>
      </c>
      <c r="F16" s="37">
        <v>18</v>
      </c>
      <c r="G16" s="38" t="s">
        <v>118</v>
      </c>
      <c r="H16" s="37"/>
      <c r="I16" s="37">
        <v>540</v>
      </c>
      <c r="J16" s="37">
        <v>194.729</v>
      </c>
      <c r="K16" s="37">
        <v>25.461</v>
      </c>
      <c r="L16" s="37">
        <v>60.1</v>
      </c>
      <c r="M16" s="37"/>
      <c r="N16" s="37">
        <v>48.702</v>
      </c>
      <c r="O16" s="37">
        <v>7.426</v>
      </c>
      <c r="P16" s="37">
        <v>30</v>
      </c>
    </row>
    <row r="17" spans="1:16" ht="13.5" customHeight="1">
      <c r="A17" s="39" t="str">
        <f aca="true" t="shared" si="0" ref="A17:A45">"Z"&amp;C17&amp;"x"&amp;D17&amp;"x"&amp;G17</f>
        <v>Z150x62x2</v>
      </c>
      <c r="B17" s="40">
        <v>4.71</v>
      </c>
      <c r="C17" s="40">
        <v>150</v>
      </c>
      <c r="D17" s="40">
        <v>62</v>
      </c>
      <c r="E17" s="40">
        <v>68</v>
      </c>
      <c r="F17" s="40">
        <v>18</v>
      </c>
      <c r="G17" s="41">
        <v>2</v>
      </c>
      <c r="H17" s="40"/>
      <c r="I17" s="40">
        <v>600</v>
      </c>
      <c r="J17" s="40">
        <v>215.727</v>
      </c>
      <c r="K17" s="40">
        <v>28.207</v>
      </c>
      <c r="L17" s="40">
        <v>60</v>
      </c>
      <c r="M17" s="40"/>
      <c r="N17" s="40">
        <v>54.15</v>
      </c>
      <c r="O17" s="40">
        <v>8.27</v>
      </c>
      <c r="P17" s="40">
        <v>30</v>
      </c>
    </row>
    <row r="18" spans="1:16" ht="13.5" customHeight="1">
      <c r="A18" s="36" t="str">
        <f t="shared" si="0"/>
        <v>Z150x62x2.3</v>
      </c>
      <c r="B18" s="37">
        <v>5.42</v>
      </c>
      <c r="C18" s="37">
        <v>150</v>
      </c>
      <c r="D18" s="37">
        <v>62</v>
      </c>
      <c r="E18" s="37">
        <v>68</v>
      </c>
      <c r="F18" s="37">
        <v>18</v>
      </c>
      <c r="G18" s="38" t="s">
        <v>119</v>
      </c>
      <c r="H18" s="37"/>
      <c r="I18" s="37">
        <v>690</v>
      </c>
      <c r="J18" s="37">
        <v>246.979</v>
      </c>
      <c r="K18" s="37">
        <v>32.295</v>
      </c>
      <c r="L18" s="37">
        <v>59.8</v>
      </c>
      <c r="M18" s="37"/>
      <c r="N18" s="37">
        <v>62.329</v>
      </c>
      <c r="O18" s="37">
        <v>9.541</v>
      </c>
      <c r="P18" s="37">
        <v>30.1</v>
      </c>
    </row>
    <row r="19" spans="1:16" ht="13.5" customHeight="1">
      <c r="A19" s="39" t="str">
        <f t="shared" si="0"/>
        <v>Z150x62x2.5</v>
      </c>
      <c r="B19" s="40">
        <v>5.89</v>
      </c>
      <c r="C19" s="40">
        <v>150</v>
      </c>
      <c r="D19" s="40">
        <v>62</v>
      </c>
      <c r="E19" s="40">
        <v>68</v>
      </c>
      <c r="F19" s="40">
        <v>18</v>
      </c>
      <c r="G19" s="41" t="s">
        <v>120</v>
      </c>
      <c r="H19" s="40"/>
      <c r="I19" s="40">
        <v>750</v>
      </c>
      <c r="J19" s="40">
        <v>267.649</v>
      </c>
      <c r="K19" s="40">
        <v>34.998</v>
      </c>
      <c r="L19" s="40">
        <v>59.7</v>
      </c>
      <c r="M19" s="40"/>
      <c r="N19" s="40">
        <v>67.786</v>
      </c>
      <c r="O19" s="40">
        <v>10.393</v>
      </c>
      <c r="P19" s="40">
        <v>30.1</v>
      </c>
    </row>
    <row r="20" spans="1:16" ht="13.5" customHeight="1">
      <c r="A20" s="36" t="str">
        <f t="shared" si="0"/>
        <v>Z150x62x3</v>
      </c>
      <c r="B20" s="37">
        <v>7.07</v>
      </c>
      <c r="C20" s="37">
        <v>150</v>
      </c>
      <c r="D20" s="37">
        <v>62</v>
      </c>
      <c r="E20" s="37">
        <v>68</v>
      </c>
      <c r="F20" s="37">
        <v>18</v>
      </c>
      <c r="G20" s="38">
        <v>3</v>
      </c>
      <c r="H20" s="37"/>
      <c r="I20" s="37">
        <v>900</v>
      </c>
      <c r="J20" s="37">
        <v>318.746</v>
      </c>
      <c r="K20" s="37">
        <v>41.682</v>
      </c>
      <c r="L20" s="37">
        <v>59.5</v>
      </c>
      <c r="M20" s="37"/>
      <c r="N20" s="37">
        <v>81.434</v>
      </c>
      <c r="O20" s="37">
        <v>12.534</v>
      </c>
      <c r="P20" s="37">
        <v>30.1</v>
      </c>
    </row>
    <row r="21" spans="1:16" ht="13.5" customHeight="1">
      <c r="A21" s="39" t="str">
        <f t="shared" si="0"/>
        <v>Z200x62x1.8</v>
      </c>
      <c r="B21" s="40">
        <v>4.95</v>
      </c>
      <c r="C21" s="40">
        <v>200</v>
      </c>
      <c r="D21" s="40">
        <v>62</v>
      </c>
      <c r="E21" s="40">
        <v>68</v>
      </c>
      <c r="F21" s="40">
        <v>20</v>
      </c>
      <c r="G21" s="41" t="s">
        <v>118</v>
      </c>
      <c r="H21" s="40"/>
      <c r="I21" s="40">
        <v>630</v>
      </c>
      <c r="J21" s="40">
        <v>379.507</v>
      </c>
      <c r="K21" s="40">
        <v>37.317</v>
      </c>
      <c r="L21" s="40">
        <v>77.6</v>
      </c>
      <c r="M21" s="40"/>
      <c r="N21" s="40">
        <v>48.723</v>
      </c>
      <c r="O21" s="40">
        <v>7.405</v>
      </c>
      <c r="P21" s="40">
        <v>27.8</v>
      </c>
    </row>
    <row r="22" spans="1:16" ht="13.5" customHeight="1">
      <c r="A22" s="36" t="str">
        <f t="shared" si="0"/>
        <v>Z200x62x2</v>
      </c>
      <c r="B22" s="37">
        <v>5.5</v>
      </c>
      <c r="C22" s="37">
        <v>200</v>
      </c>
      <c r="D22" s="37">
        <v>62</v>
      </c>
      <c r="E22" s="37">
        <v>68</v>
      </c>
      <c r="F22" s="37">
        <v>20</v>
      </c>
      <c r="G22" s="38">
        <v>2</v>
      </c>
      <c r="H22" s="37"/>
      <c r="I22" s="37">
        <v>700</v>
      </c>
      <c r="J22" s="37">
        <v>420.81</v>
      </c>
      <c r="K22" s="37">
        <v>41.379</v>
      </c>
      <c r="L22" s="37">
        <v>77.5</v>
      </c>
      <c r="M22" s="37"/>
      <c r="N22" s="37">
        <v>54.173</v>
      </c>
      <c r="O22" s="37">
        <v>8.246</v>
      </c>
      <c r="P22" s="37">
        <v>27.8</v>
      </c>
    </row>
    <row r="23" spans="1:16" ht="13.5" customHeight="1">
      <c r="A23" s="39" t="str">
        <f t="shared" si="0"/>
        <v>Z200x62x2.3</v>
      </c>
      <c r="B23" s="40">
        <v>6.32</v>
      </c>
      <c r="C23" s="40">
        <v>200</v>
      </c>
      <c r="D23" s="40">
        <v>62</v>
      </c>
      <c r="E23" s="40">
        <v>68</v>
      </c>
      <c r="F23" s="40">
        <v>20</v>
      </c>
      <c r="G23" s="41" t="s">
        <v>119</v>
      </c>
      <c r="H23" s="40"/>
      <c r="I23" s="40">
        <v>805</v>
      </c>
      <c r="J23" s="40">
        <v>482.433</v>
      </c>
      <c r="K23" s="40">
        <v>47.439</v>
      </c>
      <c r="L23" s="40">
        <v>77.4</v>
      </c>
      <c r="M23" s="40"/>
      <c r="N23" s="40">
        <v>62.357</v>
      </c>
      <c r="O23" s="40">
        <v>9.514</v>
      </c>
      <c r="P23" s="40">
        <v>27.8</v>
      </c>
    </row>
    <row r="24" spans="1:16" ht="13.5" customHeight="1">
      <c r="A24" s="36" t="str">
        <f t="shared" si="0"/>
        <v>Z200x62x2.5</v>
      </c>
      <c r="B24" s="37">
        <v>6.87</v>
      </c>
      <c r="C24" s="37">
        <v>200</v>
      </c>
      <c r="D24" s="37">
        <v>62</v>
      </c>
      <c r="E24" s="37">
        <v>68</v>
      </c>
      <c r="F24" s="37">
        <v>20</v>
      </c>
      <c r="G24" s="38" t="s">
        <v>120</v>
      </c>
      <c r="H24" s="37"/>
      <c r="I24" s="37">
        <v>875</v>
      </c>
      <c r="J24" s="37">
        <v>523.291</v>
      </c>
      <c r="K24" s="37">
        <v>51.458</v>
      </c>
      <c r="L24" s="37">
        <v>77.3</v>
      </c>
      <c r="M24" s="37"/>
      <c r="N24" s="37">
        <v>67.817</v>
      </c>
      <c r="O24" s="37">
        <v>10.363</v>
      </c>
      <c r="P24" s="37">
        <v>27.8</v>
      </c>
    </row>
    <row r="25" spans="1:16" ht="13.5" customHeight="1">
      <c r="A25" s="39" t="str">
        <f t="shared" si="0"/>
        <v>Z200x62x3</v>
      </c>
      <c r="B25" s="40">
        <v>8.24</v>
      </c>
      <c r="C25" s="40">
        <v>200</v>
      </c>
      <c r="D25" s="40">
        <v>62</v>
      </c>
      <c r="E25" s="40">
        <v>68</v>
      </c>
      <c r="F25" s="40">
        <v>20</v>
      </c>
      <c r="G25" s="41">
        <v>3</v>
      </c>
      <c r="H25" s="40"/>
      <c r="I25" s="40">
        <v>1050</v>
      </c>
      <c r="J25" s="40">
        <v>624.646</v>
      </c>
      <c r="K25" s="40">
        <v>61.427</v>
      </c>
      <c r="L25" s="40">
        <v>77.1</v>
      </c>
      <c r="M25" s="40"/>
      <c r="N25" s="40">
        <v>81.475</v>
      </c>
      <c r="O25" s="40">
        <v>12.498</v>
      </c>
      <c r="P25" s="40">
        <v>27.9</v>
      </c>
    </row>
    <row r="26" spans="1:16" ht="13.5" customHeight="1">
      <c r="A26" s="36" t="str">
        <f t="shared" si="0"/>
        <v>Z150x72x1.8</v>
      </c>
      <c r="B26" s="37">
        <v>4.52</v>
      </c>
      <c r="C26" s="37">
        <v>150</v>
      </c>
      <c r="D26" s="37">
        <v>72</v>
      </c>
      <c r="E26" s="37">
        <v>78</v>
      </c>
      <c r="F26" s="37">
        <v>18</v>
      </c>
      <c r="G26" s="38" t="s">
        <v>118</v>
      </c>
      <c r="H26" s="37"/>
      <c r="I26" s="37">
        <v>576</v>
      </c>
      <c r="J26" s="37">
        <v>214.504</v>
      </c>
      <c r="K26" s="37">
        <v>28.08</v>
      </c>
      <c r="L26" s="37">
        <v>61</v>
      </c>
      <c r="M26" s="37"/>
      <c r="N26" s="37">
        <v>71.723</v>
      </c>
      <c r="O26" s="37">
        <v>9.501</v>
      </c>
      <c r="P26" s="37">
        <v>35.3</v>
      </c>
    </row>
    <row r="27" spans="1:16" ht="13.5" customHeight="1">
      <c r="A27" s="39" t="str">
        <f t="shared" si="0"/>
        <v>Z150x72x2</v>
      </c>
      <c r="B27" s="40">
        <v>5.02</v>
      </c>
      <c r="C27" s="40">
        <v>150</v>
      </c>
      <c r="D27" s="40">
        <v>72</v>
      </c>
      <c r="E27" s="40">
        <v>78</v>
      </c>
      <c r="F27" s="40">
        <v>18</v>
      </c>
      <c r="G27" s="41">
        <v>2</v>
      </c>
      <c r="H27" s="40"/>
      <c r="I27" s="40">
        <v>640</v>
      </c>
      <c r="J27" s="40">
        <v>237.641</v>
      </c>
      <c r="K27" s="40">
        <v>31.11</v>
      </c>
      <c r="L27" s="40">
        <v>60.9</v>
      </c>
      <c r="M27" s="40"/>
      <c r="N27" s="40">
        <v>79.764</v>
      </c>
      <c r="O27" s="40">
        <v>10.58</v>
      </c>
      <c r="P27" s="40">
        <v>35.3</v>
      </c>
    </row>
    <row r="28" spans="1:16" ht="13.5" customHeight="1">
      <c r="A28" s="36" t="str">
        <f t="shared" si="0"/>
        <v>Z150x72x2.3</v>
      </c>
      <c r="B28" s="37">
        <v>5.78</v>
      </c>
      <c r="C28" s="37">
        <v>150</v>
      </c>
      <c r="D28" s="37">
        <v>72</v>
      </c>
      <c r="E28" s="37">
        <v>78</v>
      </c>
      <c r="F28" s="37">
        <v>18</v>
      </c>
      <c r="G28" s="38" t="s">
        <v>119</v>
      </c>
      <c r="H28" s="37"/>
      <c r="I28" s="37">
        <v>736</v>
      </c>
      <c r="J28" s="37">
        <v>272.078</v>
      </c>
      <c r="K28" s="37">
        <v>35.619</v>
      </c>
      <c r="L28" s="37">
        <v>60.8</v>
      </c>
      <c r="M28" s="37"/>
      <c r="N28" s="37">
        <v>91.844</v>
      </c>
      <c r="O28" s="37">
        <v>12.208</v>
      </c>
      <c r="P28" s="37">
        <v>35.3</v>
      </c>
    </row>
    <row r="29" spans="1:16" ht="13.5" customHeight="1">
      <c r="A29" s="39" t="str">
        <f t="shared" si="0"/>
        <v>Z150x72x2.5</v>
      </c>
      <c r="B29" s="40">
        <v>6.28</v>
      </c>
      <c r="C29" s="40">
        <v>150</v>
      </c>
      <c r="D29" s="40">
        <v>72</v>
      </c>
      <c r="E29" s="40">
        <v>78</v>
      </c>
      <c r="F29" s="40">
        <v>18</v>
      </c>
      <c r="G29" s="41" t="s">
        <v>120</v>
      </c>
      <c r="H29" s="40"/>
      <c r="I29" s="40">
        <v>800</v>
      </c>
      <c r="J29" s="40">
        <v>294.857</v>
      </c>
      <c r="K29" s="40">
        <v>38.603</v>
      </c>
      <c r="L29" s="40">
        <v>60.7</v>
      </c>
      <c r="M29" s="40"/>
      <c r="N29" s="40">
        <v>99.908</v>
      </c>
      <c r="O29" s="40">
        <v>13.298</v>
      </c>
      <c r="P29" s="40">
        <v>35.3</v>
      </c>
    </row>
    <row r="30" spans="1:16" ht="13.5" customHeight="1">
      <c r="A30" s="36" t="str">
        <f t="shared" si="0"/>
        <v>Z150x72x3</v>
      </c>
      <c r="B30" s="37">
        <v>7.54</v>
      </c>
      <c r="C30" s="37">
        <v>150</v>
      </c>
      <c r="D30" s="37">
        <v>72</v>
      </c>
      <c r="E30" s="37">
        <v>78</v>
      </c>
      <c r="F30" s="37">
        <v>18</v>
      </c>
      <c r="G30" s="38">
        <v>3</v>
      </c>
      <c r="H30" s="37"/>
      <c r="I30" s="37">
        <v>960</v>
      </c>
      <c r="J30" s="37">
        <v>351.176</v>
      </c>
      <c r="K30" s="37">
        <v>45.979</v>
      </c>
      <c r="L30" s="37">
        <v>60.5</v>
      </c>
      <c r="M30" s="37"/>
      <c r="N30" s="37">
        <v>120.102</v>
      </c>
      <c r="O30" s="37">
        <v>16.04</v>
      </c>
      <c r="P30" s="37">
        <v>35.4</v>
      </c>
    </row>
    <row r="31" spans="1:16" ht="13.5" customHeight="1">
      <c r="A31" s="39" t="str">
        <f t="shared" si="0"/>
        <v>Z200x72x1.8</v>
      </c>
      <c r="B31" s="40">
        <v>5.23</v>
      </c>
      <c r="C31" s="40">
        <v>200</v>
      </c>
      <c r="D31" s="40">
        <v>72</v>
      </c>
      <c r="E31" s="40">
        <v>78</v>
      </c>
      <c r="F31" s="40">
        <v>20</v>
      </c>
      <c r="G31" s="41" t="s">
        <v>118</v>
      </c>
      <c r="H31" s="40"/>
      <c r="I31" s="40">
        <v>666</v>
      </c>
      <c r="J31" s="40">
        <v>414.872</v>
      </c>
      <c r="K31" s="40">
        <v>40.831</v>
      </c>
      <c r="L31" s="40">
        <v>78.9</v>
      </c>
      <c r="M31" s="40"/>
      <c r="N31" s="40">
        <v>71.746</v>
      </c>
      <c r="O31" s="40">
        <v>9.477</v>
      </c>
      <c r="P31" s="40">
        <v>32.8</v>
      </c>
    </row>
    <row r="32" spans="1:16" ht="13.5" customHeight="1">
      <c r="A32" s="36" t="str">
        <f t="shared" si="0"/>
        <v>Z200x72x2</v>
      </c>
      <c r="B32" s="37">
        <v>5.81</v>
      </c>
      <c r="C32" s="37">
        <v>200</v>
      </c>
      <c r="D32" s="37">
        <v>72</v>
      </c>
      <c r="E32" s="37">
        <v>78</v>
      </c>
      <c r="F32" s="37">
        <v>20</v>
      </c>
      <c r="G32" s="38">
        <v>2</v>
      </c>
      <c r="H32" s="37"/>
      <c r="I32" s="37">
        <v>740</v>
      </c>
      <c r="J32" s="37">
        <v>460.026</v>
      </c>
      <c r="K32" s="37">
        <v>45.276</v>
      </c>
      <c r="L32" s="37">
        <v>78.8</v>
      </c>
      <c r="M32" s="37"/>
      <c r="N32" s="37">
        <v>79.79</v>
      </c>
      <c r="O32" s="37">
        <v>10.553</v>
      </c>
      <c r="P32" s="37">
        <v>32.8</v>
      </c>
    </row>
    <row r="33" spans="1:16" ht="13.5" customHeight="1">
      <c r="A33" s="39" t="str">
        <f t="shared" si="0"/>
        <v>Z200x72x2.3</v>
      </c>
      <c r="B33" s="40">
        <v>6.68</v>
      </c>
      <c r="C33" s="40">
        <v>200</v>
      </c>
      <c r="D33" s="40">
        <v>72</v>
      </c>
      <c r="E33" s="40">
        <v>78</v>
      </c>
      <c r="F33" s="40">
        <v>20</v>
      </c>
      <c r="G33" s="41" t="s">
        <v>119</v>
      </c>
      <c r="H33" s="40"/>
      <c r="I33" s="40">
        <v>851</v>
      </c>
      <c r="J33" s="40">
        <v>527.395</v>
      </c>
      <c r="K33" s="40">
        <v>51.907</v>
      </c>
      <c r="L33" s="40">
        <v>78.7</v>
      </c>
      <c r="M33" s="40"/>
      <c r="N33" s="40">
        <v>91.875</v>
      </c>
      <c r="O33" s="40">
        <v>12.176</v>
      </c>
      <c r="P33" s="40">
        <v>32.9</v>
      </c>
    </row>
    <row r="34" spans="1:16" ht="13.5" customHeight="1">
      <c r="A34" s="36" t="str">
        <f t="shared" si="0"/>
        <v>Z200x72x2.5</v>
      </c>
      <c r="B34" s="37">
        <v>7.26</v>
      </c>
      <c r="C34" s="37">
        <v>200</v>
      </c>
      <c r="D34" s="37">
        <v>72</v>
      </c>
      <c r="E34" s="37">
        <v>78</v>
      </c>
      <c r="F34" s="37">
        <v>20</v>
      </c>
      <c r="G34" s="38" t="s">
        <v>120</v>
      </c>
      <c r="H34" s="37"/>
      <c r="I34" s="37">
        <v>925</v>
      </c>
      <c r="J34" s="37">
        <v>572.065</v>
      </c>
      <c r="K34" s="37">
        <v>56.305</v>
      </c>
      <c r="L34" s="37">
        <v>78.6</v>
      </c>
      <c r="M34" s="37"/>
      <c r="N34" s="37">
        <v>99.943</v>
      </c>
      <c r="O34" s="37">
        <v>13.264</v>
      </c>
      <c r="P34" s="37">
        <v>32.9</v>
      </c>
    </row>
    <row r="35" spans="1:16" ht="13.5" customHeight="1">
      <c r="A35" s="39" t="str">
        <f t="shared" si="0"/>
        <v>Z200x72x3</v>
      </c>
      <c r="B35" s="40">
        <v>8.71</v>
      </c>
      <c r="C35" s="40">
        <v>200</v>
      </c>
      <c r="D35" s="40">
        <v>72</v>
      </c>
      <c r="E35" s="40">
        <v>78</v>
      </c>
      <c r="F35" s="40">
        <v>20</v>
      </c>
      <c r="G35" s="41">
        <v>3</v>
      </c>
      <c r="H35" s="40"/>
      <c r="I35" s="40">
        <v>1110</v>
      </c>
      <c r="J35" s="40">
        <v>682.88</v>
      </c>
      <c r="K35" s="40">
        <v>67.214</v>
      </c>
      <c r="L35" s="40">
        <v>78.4</v>
      </c>
      <c r="M35" s="40"/>
      <c r="N35" s="40">
        <v>120.147</v>
      </c>
      <c r="O35" s="40">
        <v>15.999</v>
      </c>
      <c r="P35" s="40">
        <v>32.9</v>
      </c>
    </row>
    <row r="36" spans="1:16" ht="13.5" customHeight="1">
      <c r="A36" s="36" t="str">
        <f t="shared" si="0"/>
        <v>Z250x72x1.8</v>
      </c>
      <c r="B36" s="37">
        <v>5.93</v>
      </c>
      <c r="C36" s="37">
        <v>250</v>
      </c>
      <c r="D36" s="37">
        <v>72</v>
      </c>
      <c r="E36" s="37">
        <v>78</v>
      </c>
      <c r="F36" s="37">
        <v>20</v>
      </c>
      <c r="G36" s="38" t="s">
        <v>118</v>
      </c>
      <c r="H36" s="37"/>
      <c r="I36" s="37">
        <v>756</v>
      </c>
      <c r="J36" s="37">
        <v>698.485</v>
      </c>
      <c r="K36" s="37">
        <v>55.097</v>
      </c>
      <c r="L36" s="37">
        <v>96.1</v>
      </c>
      <c r="M36" s="37"/>
      <c r="N36" s="37">
        <v>71.764</v>
      </c>
      <c r="O36" s="37">
        <v>9.458</v>
      </c>
      <c r="P36" s="37">
        <v>30.8</v>
      </c>
    </row>
    <row r="37" spans="1:16" ht="13.5" customHeight="1">
      <c r="A37" s="39" t="str">
        <f t="shared" si="0"/>
        <v>Z250x72x2</v>
      </c>
      <c r="B37" s="40">
        <v>6.59</v>
      </c>
      <c r="C37" s="40">
        <v>250</v>
      </c>
      <c r="D37" s="40">
        <v>72</v>
      </c>
      <c r="E37" s="40">
        <v>78</v>
      </c>
      <c r="F37" s="40">
        <v>20</v>
      </c>
      <c r="G37" s="41">
        <v>2</v>
      </c>
      <c r="H37" s="40"/>
      <c r="I37" s="40">
        <v>840</v>
      </c>
      <c r="J37" s="40">
        <v>774.907</v>
      </c>
      <c r="K37" s="40">
        <v>61.126</v>
      </c>
      <c r="L37" s="40">
        <v>96</v>
      </c>
      <c r="M37" s="40"/>
      <c r="N37" s="40">
        <v>79.81</v>
      </c>
      <c r="O37" s="40">
        <v>10.533</v>
      </c>
      <c r="P37" s="40">
        <v>30.8</v>
      </c>
    </row>
    <row r="38" spans="1:16" ht="13.5" customHeight="1">
      <c r="A38" s="36" t="str">
        <f t="shared" si="0"/>
        <v>Z250x72x2.3</v>
      </c>
      <c r="B38" s="37">
        <v>7.58</v>
      </c>
      <c r="C38" s="37">
        <v>250</v>
      </c>
      <c r="D38" s="37">
        <v>72</v>
      </c>
      <c r="E38" s="37">
        <v>78</v>
      </c>
      <c r="F38" s="37">
        <v>20</v>
      </c>
      <c r="G38" s="38" t="s">
        <v>119</v>
      </c>
      <c r="H38" s="37"/>
      <c r="I38" s="37">
        <v>966</v>
      </c>
      <c r="J38" s="37">
        <v>889.081</v>
      </c>
      <c r="K38" s="37">
        <v>70.134</v>
      </c>
      <c r="L38" s="37">
        <v>95.9</v>
      </c>
      <c r="M38" s="37"/>
      <c r="N38" s="37">
        <v>91.899</v>
      </c>
      <c r="O38" s="37">
        <v>12.153</v>
      </c>
      <c r="P38" s="37">
        <v>30.8</v>
      </c>
    </row>
    <row r="39" spans="1:16" ht="13.5" customHeight="1">
      <c r="A39" s="39" t="str">
        <f t="shared" si="0"/>
        <v>Z250x72x2.5</v>
      </c>
      <c r="B39" s="40">
        <v>8.24</v>
      </c>
      <c r="C39" s="40">
        <v>250</v>
      </c>
      <c r="D39" s="40">
        <v>72</v>
      </c>
      <c r="E39" s="40">
        <v>78</v>
      </c>
      <c r="F39" s="40">
        <v>20</v>
      </c>
      <c r="G39" s="41" t="s">
        <v>120</v>
      </c>
      <c r="H39" s="40"/>
      <c r="I39" s="40">
        <v>1050</v>
      </c>
      <c r="J39" s="40">
        <v>964.891</v>
      </c>
      <c r="K39" s="40">
        <v>76.115</v>
      </c>
      <c r="L39" s="40">
        <v>95.9</v>
      </c>
      <c r="M39" s="40"/>
      <c r="N39" s="40">
        <v>99.971</v>
      </c>
      <c r="O39" s="40">
        <v>13.238</v>
      </c>
      <c r="P39" s="40">
        <v>30.9</v>
      </c>
    </row>
    <row r="40" spans="1:16" ht="13.5" customHeight="1">
      <c r="A40" s="36" t="str">
        <f t="shared" si="0"/>
        <v>Z250x72x3</v>
      </c>
      <c r="B40" s="37">
        <v>9.89</v>
      </c>
      <c r="C40" s="37">
        <v>250</v>
      </c>
      <c r="D40" s="37">
        <v>72</v>
      </c>
      <c r="E40" s="37">
        <v>78</v>
      </c>
      <c r="F40" s="37">
        <v>20</v>
      </c>
      <c r="G40" s="38">
        <v>3</v>
      </c>
      <c r="H40" s="37"/>
      <c r="I40" s="37">
        <v>1260</v>
      </c>
      <c r="J40" s="37">
        <v>1153.326</v>
      </c>
      <c r="K40" s="37">
        <v>90.982</v>
      </c>
      <c r="L40" s="37">
        <v>95.7</v>
      </c>
      <c r="M40" s="37"/>
      <c r="N40" s="37">
        <v>120.184</v>
      </c>
      <c r="O40" s="37">
        <v>15.968</v>
      </c>
      <c r="P40" s="37">
        <v>30.9</v>
      </c>
    </row>
    <row r="41" spans="1:16" ht="13.5" customHeight="1">
      <c r="A41" s="39" t="str">
        <f t="shared" si="0"/>
        <v>Z300x72x1.8</v>
      </c>
      <c r="B41" s="40">
        <v>6.64</v>
      </c>
      <c r="C41" s="40">
        <v>300</v>
      </c>
      <c r="D41" s="40">
        <v>72</v>
      </c>
      <c r="E41" s="40">
        <v>78</v>
      </c>
      <c r="F41" s="40">
        <v>20</v>
      </c>
      <c r="G41" s="41" t="s">
        <v>118</v>
      </c>
      <c r="H41" s="40"/>
      <c r="I41" s="40">
        <v>846</v>
      </c>
      <c r="J41" s="40">
        <v>1076.595</v>
      </c>
      <c r="K41" s="40">
        <v>70.874</v>
      </c>
      <c r="L41" s="40">
        <v>112.8</v>
      </c>
      <c r="M41" s="40"/>
      <c r="N41" s="40">
        <v>71.778</v>
      </c>
      <c r="O41" s="40">
        <v>9.444</v>
      </c>
      <c r="P41" s="40">
        <v>29.1</v>
      </c>
    </row>
    <row r="42" spans="1:16" ht="13.5" customHeight="1">
      <c r="A42" s="36" t="str">
        <f t="shared" si="0"/>
        <v>Z300x72x2</v>
      </c>
      <c r="B42" s="37">
        <v>7.38</v>
      </c>
      <c r="C42" s="37">
        <v>300</v>
      </c>
      <c r="D42" s="37">
        <v>72</v>
      </c>
      <c r="E42" s="37">
        <v>78</v>
      </c>
      <c r="F42" s="37">
        <v>20</v>
      </c>
      <c r="G42" s="38">
        <v>2</v>
      </c>
      <c r="H42" s="37"/>
      <c r="I42" s="37">
        <v>940</v>
      </c>
      <c r="J42" s="37">
        <v>1194.784</v>
      </c>
      <c r="K42" s="37">
        <v>78.655</v>
      </c>
      <c r="L42" s="37">
        <v>112.7</v>
      </c>
      <c r="M42" s="37"/>
      <c r="N42" s="37">
        <v>79.827</v>
      </c>
      <c r="O42" s="37">
        <v>10.517</v>
      </c>
      <c r="P42" s="37">
        <v>29.1</v>
      </c>
    </row>
    <row r="43" spans="1:16" ht="13.5" customHeight="1">
      <c r="A43" s="39" t="str">
        <f t="shared" si="0"/>
        <v>Z300x72x2.3</v>
      </c>
      <c r="B43" s="40">
        <v>8.49</v>
      </c>
      <c r="C43" s="40">
        <v>300</v>
      </c>
      <c r="D43" s="40">
        <v>72</v>
      </c>
      <c r="E43" s="40">
        <v>78</v>
      </c>
      <c r="F43" s="40">
        <v>20</v>
      </c>
      <c r="G43" s="41" t="s">
        <v>119</v>
      </c>
      <c r="H43" s="40"/>
      <c r="I43" s="40">
        <v>1081</v>
      </c>
      <c r="J43" s="40">
        <v>1371.513</v>
      </c>
      <c r="K43" s="40">
        <v>90.29</v>
      </c>
      <c r="L43" s="40">
        <v>112.6</v>
      </c>
      <c r="M43" s="40"/>
      <c r="N43" s="40">
        <v>91.92</v>
      </c>
      <c r="O43" s="40">
        <v>12.135</v>
      </c>
      <c r="P43" s="40">
        <v>29.2</v>
      </c>
    </row>
    <row r="44" spans="1:16" ht="13.5" customHeight="1">
      <c r="A44" s="36" t="str">
        <f t="shared" si="0"/>
        <v>Z300x72x2.5</v>
      </c>
      <c r="B44" s="37">
        <v>9.22</v>
      </c>
      <c r="C44" s="37">
        <v>300</v>
      </c>
      <c r="D44" s="37">
        <v>72</v>
      </c>
      <c r="E44" s="37">
        <v>78</v>
      </c>
      <c r="F44" s="37">
        <v>20</v>
      </c>
      <c r="G44" s="38" t="s">
        <v>120</v>
      </c>
      <c r="H44" s="37"/>
      <c r="I44" s="37">
        <v>1175</v>
      </c>
      <c r="J44" s="37">
        <v>1488.962</v>
      </c>
      <c r="K44" s="37">
        <v>98.023</v>
      </c>
      <c r="L44" s="37">
        <v>112.6</v>
      </c>
      <c r="M44" s="37"/>
      <c r="N44" s="37">
        <v>99.994</v>
      </c>
      <c r="O44" s="37">
        <v>13.218</v>
      </c>
      <c r="P44" s="37">
        <v>29.2</v>
      </c>
    </row>
    <row r="45" spans="1:16" ht="13.5" customHeight="1">
      <c r="A45" s="39" t="str">
        <f t="shared" si="0"/>
        <v>Z300x72x3</v>
      </c>
      <c r="B45" s="40">
        <v>11.07</v>
      </c>
      <c r="C45" s="40">
        <v>300</v>
      </c>
      <c r="D45" s="40">
        <v>72</v>
      </c>
      <c r="E45" s="40">
        <v>78</v>
      </c>
      <c r="F45" s="40">
        <v>20</v>
      </c>
      <c r="G45" s="41">
        <v>3</v>
      </c>
      <c r="H45" s="40"/>
      <c r="I45" s="40">
        <v>1410</v>
      </c>
      <c r="J45" s="40">
        <v>1781.267</v>
      </c>
      <c r="K45" s="40">
        <v>117.269</v>
      </c>
      <c r="L45" s="40">
        <v>112.4</v>
      </c>
      <c r="M45" s="40"/>
      <c r="N45" s="40">
        <v>120.216</v>
      </c>
      <c r="O45" s="40">
        <v>15.945</v>
      </c>
      <c r="P45" s="40">
        <v>29.2</v>
      </c>
    </row>
    <row r="52" ht="16.5">
      <c r="C52" s="32">
        <f>45-16+1</f>
        <v>30</v>
      </c>
    </row>
  </sheetData>
  <sheetProtection/>
  <mergeCells count="27">
    <mergeCell ref="F12:F14"/>
    <mergeCell ref="A1:P1"/>
    <mergeCell ref="F2:L2"/>
    <mergeCell ref="F3:L3"/>
    <mergeCell ref="F4:L4"/>
    <mergeCell ref="F5:L5"/>
    <mergeCell ref="F6:L6"/>
    <mergeCell ref="L11:L13"/>
    <mergeCell ref="A11:A14"/>
    <mergeCell ref="B11:B14"/>
    <mergeCell ref="C11:H11"/>
    <mergeCell ref="I11:I14"/>
    <mergeCell ref="J11:J13"/>
    <mergeCell ref="K11:K13"/>
    <mergeCell ref="C12:C14"/>
    <mergeCell ref="D12:D14"/>
    <mergeCell ref="E12:E14"/>
    <mergeCell ref="M11:M13"/>
    <mergeCell ref="N11:N13"/>
    <mergeCell ref="O11:O13"/>
    <mergeCell ref="P11:P13"/>
    <mergeCell ref="G12:G14"/>
    <mergeCell ref="F7:L7"/>
    <mergeCell ref="F8:L8"/>
    <mergeCell ref="F9:L9"/>
    <mergeCell ref="F10:L10"/>
    <mergeCell ref="H12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AL31"/>
  <sheetViews>
    <sheetView zoomScalePageLayoutView="0" workbookViewId="0" topLeftCell="A7">
      <selection activeCell="I38" sqref="I38"/>
    </sheetView>
  </sheetViews>
  <sheetFormatPr defaultColWidth="8.88671875" defaultRowHeight="16.5"/>
  <cols>
    <col min="1" max="1" width="16.10546875" style="33" customWidth="1"/>
    <col min="2" max="2" width="8.88671875" style="32" customWidth="1"/>
    <col min="3" max="4" width="6.77734375" style="32" customWidth="1"/>
    <col min="5" max="5" width="8.77734375" style="32" customWidth="1"/>
    <col min="6" max="6" width="6.77734375" style="32" customWidth="1"/>
    <col min="7" max="8" width="6.77734375" style="32" hidden="1" customWidth="1"/>
    <col min="9" max="9" width="9.10546875" style="32" customWidth="1"/>
    <col min="10" max="10" width="12.21484375" style="32" customWidth="1"/>
    <col min="11" max="11" width="8.3359375" style="32" customWidth="1"/>
    <col min="12" max="12" width="8.10546875" style="32" customWidth="1"/>
    <col min="13" max="13" width="7.10546875" style="32" customWidth="1"/>
    <col min="14" max="14" width="7.6640625" style="32" customWidth="1"/>
    <col min="15" max="15" width="7.5546875" style="32" customWidth="1"/>
    <col min="16" max="16" width="8.4453125" style="32" customWidth="1"/>
    <col min="17" max="17" width="9.88671875" style="32" customWidth="1"/>
    <col min="18" max="19" width="0" style="32" hidden="1" customWidth="1"/>
    <col min="20" max="20" width="8.77734375" style="32" hidden="1" customWidth="1"/>
    <col min="21" max="28" width="0" style="32" hidden="1" customWidth="1"/>
    <col min="29" max="29" width="19.99609375" style="32" hidden="1" customWidth="1"/>
    <col min="30" max="30" width="8.3359375" style="32" hidden="1" customWidth="1"/>
    <col min="31" max="31" width="19.99609375" style="32" hidden="1" customWidth="1"/>
    <col min="32" max="32" width="12.21484375" style="32" hidden="1" customWidth="1"/>
    <col min="33" max="33" width="19.99609375" style="32" hidden="1" customWidth="1"/>
    <col min="34" max="34" width="12.21484375" style="32" hidden="1" customWidth="1"/>
    <col min="35" max="35" width="19.99609375" style="32" hidden="1" customWidth="1"/>
    <col min="36" max="36" width="12.21484375" style="32" hidden="1" customWidth="1"/>
    <col min="37" max="37" width="19.99609375" style="32" hidden="1" customWidth="1"/>
    <col min="38" max="38" width="12.21484375" style="32" hidden="1" customWidth="1"/>
    <col min="39" max="239" width="8.88671875" style="32" customWidth="1"/>
    <col min="240" max="240" width="6.77734375" style="32" customWidth="1"/>
    <col min="241" max="241" width="11.88671875" style="32" customWidth="1"/>
    <col min="242" max="246" width="6.77734375" style="32" customWidth="1"/>
    <col min="247" max="247" width="11.88671875" style="32" customWidth="1"/>
    <col min="248" max="255" width="8.3359375" style="32" customWidth="1"/>
    <col min="256" max="16384" width="8.88671875" style="32" customWidth="1"/>
  </cols>
  <sheetData>
    <row r="2" spans="1:17" ht="22.5">
      <c r="A2" s="56" t="s">
        <v>129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21" ht="19.5" customHeight="1">
      <c r="A3" s="60" t="s">
        <v>102</v>
      </c>
      <c r="B3" s="49" t="s">
        <v>103</v>
      </c>
      <c r="C3" s="63" t="s">
        <v>104</v>
      </c>
      <c r="D3" s="64"/>
      <c r="E3" s="64"/>
      <c r="F3" s="64"/>
      <c r="G3" s="42"/>
      <c r="H3" s="42"/>
      <c r="I3" s="49" t="s">
        <v>130</v>
      </c>
      <c r="J3" s="49" t="s">
        <v>131</v>
      </c>
      <c r="K3" s="49" t="s">
        <v>132</v>
      </c>
      <c r="L3" s="52" t="s">
        <v>133</v>
      </c>
      <c r="M3" s="49" t="s">
        <v>134</v>
      </c>
      <c r="N3" s="49" t="s">
        <v>135</v>
      </c>
      <c r="O3" s="49" t="s">
        <v>136</v>
      </c>
      <c r="P3" s="52" t="s">
        <v>137</v>
      </c>
      <c r="Q3" s="49" t="s">
        <v>138</v>
      </c>
      <c r="R3" s="58" t="s">
        <v>139</v>
      </c>
      <c r="S3" s="59"/>
      <c r="T3" s="59"/>
      <c r="U3" s="59"/>
    </row>
    <row r="4" spans="1:38" ht="19.5" customHeight="1">
      <c r="A4" s="61"/>
      <c r="B4" s="50"/>
      <c r="C4" s="53" t="s">
        <v>140</v>
      </c>
      <c r="D4" s="53" t="s">
        <v>167</v>
      </c>
      <c r="E4" s="53" t="s">
        <v>141</v>
      </c>
      <c r="F4" s="53" t="s">
        <v>142</v>
      </c>
      <c r="G4" s="53" t="s">
        <v>143</v>
      </c>
      <c r="H4" s="53" t="s">
        <v>144</v>
      </c>
      <c r="I4" s="50"/>
      <c r="J4" s="50"/>
      <c r="K4" s="50"/>
      <c r="L4" s="50"/>
      <c r="M4" s="50"/>
      <c r="N4" s="50"/>
      <c r="O4" s="50"/>
      <c r="P4" s="50"/>
      <c r="Q4" s="50"/>
      <c r="R4" s="57" t="s">
        <v>140</v>
      </c>
      <c r="S4" s="57" t="s">
        <v>145</v>
      </c>
      <c r="T4" s="57" t="s">
        <v>146</v>
      </c>
      <c r="U4" s="57" t="s">
        <v>147</v>
      </c>
      <c r="V4" s="57" t="s">
        <v>148</v>
      </c>
      <c r="W4" s="57" t="s">
        <v>149</v>
      </c>
      <c r="X4" s="57" t="s">
        <v>150</v>
      </c>
      <c r="Y4" s="57" t="s">
        <v>151</v>
      </c>
      <c r="Z4" s="57" t="s">
        <v>152</v>
      </c>
      <c r="AA4" s="57" t="s">
        <v>153</v>
      </c>
      <c r="AB4" s="57" t="s">
        <v>154</v>
      </c>
      <c r="AC4" s="57" t="s">
        <v>155</v>
      </c>
      <c r="AD4" s="57" t="s">
        <v>156</v>
      </c>
      <c r="AE4" s="57" t="s">
        <v>157</v>
      </c>
      <c r="AF4" s="57" t="s">
        <v>158</v>
      </c>
      <c r="AG4" s="57" t="s">
        <v>159</v>
      </c>
      <c r="AH4" s="57" t="s">
        <v>160</v>
      </c>
      <c r="AI4" s="57" t="s">
        <v>161</v>
      </c>
      <c r="AJ4" s="57" t="s">
        <v>162</v>
      </c>
      <c r="AK4" s="57" t="s">
        <v>163</v>
      </c>
      <c r="AL4" s="57" t="s">
        <v>164</v>
      </c>
    </row>
    <row r="5" spans="1:38" ht="19.5" customHeight="1">
      <c r="A5" s="61"/>
      <c r="B5" s="50"/>
      <c r="C5" s="53"/>
      <c r="D5" s="53"/>
      <c r="E5" s="53"/>
      <c r="F5" s="53"/>
      <c r="G5" s="53"/>
      <c r="H5" s="53"/>
      <c r="I5" s="50"/>
      <c r="J5" s="51"/>
      <c r="K5" s="51"/>
      <c r="L5" s="51"/>
      <c r="M5" s="51"/>
      <c r="N5" s="51"/>
      <c r="O5" s="51"/>
      <c r="P5" s="51"/>
      <c r="Q5" s="51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</row>
    <row r="6" spans="1:38" ht="21.75" customHeight="1">
      <c r="A6" s="62"/>
      <c r="B6" s="51"/>
      <c r="C6" s="53"/>
      <c r="D6" s="53"/>
      <c r="E6" s="53"/>
      <c r="F6" s="53"/>
      <c r="G6" s="53"/>
      <c r="H6" s="53"/>
      <c r="I6" s="51"/>
      <c r="J6" s="34" t="s">
        <v>165</v>
      </c>
      <c r="K6" s="34" t="s">
        <v>166</v>
      </c>
      <c r="L6" s="34" t="s">
        <v>117</v>
      </c>
      <c r="M6" s="34" t="s">
        <v>166</v>
      </c>
      <c r="N6" s="34" t="s">
        <v>165</v>
      </c>
      <c r="O6" s="34" t="s">
        <v>166</v>
      </c>
      <c r="P6" s="34" t="s">
        <v>117</v>
      </c>
      <c r="Q6" s="34" t="s">
        <v>117</v>
      </c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</row>
    <row r="7" spans="1:38" ht="15" customHeight="1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  <c r="R7" s="44">
        <v>1</v>
      </c>
      <c r="S7" s="44">
        <v>2</v>
      </c>
      <c r="T7" s="44">
        <v>3</v>
      </c>
      <c r="U7" s="44">
        <v>4</v>
      </c>
      <c r="V7" s="44">
        <v>5</v>
      </c>
      <c r="W7" s="44">
        <v>6</v>
      </c>
      <c r="X7" s="44">
        <v>7</v>
      </c>
      <c r="Y7" s="44">
        <v>8</v>
      </c>
      <c r="Z7" s="44">
        <v>9</v>
      </c>
      <c r="AA7" s="44">
        <v>10</v>
      </c>
      <c r="AB7" s="44">
        <v>11</v>
      </c>
      <c r="AC7" s="44">
        <v>12</v>
      </c>
      <c r="AD7" s="44">
        <v>13</v>
      </c>
      <c r="AE7" s="44"/>
      <c r="AF7" s="44">
        <v>14</v>
      </c>
      <c r="AG7" s="44">
        <v>12</v>
      </c>
      <c r="AH7" s="44">
        <v>11</v>
      </c>
      <c r="AI7" s="44">
        <v>12</v>
      </c>
      <c r="AJ7" s="44">
        <v>13</v>
      </c>
      <c r="AK7" s="44"/>
      <c r="AL7" s="44">
        <v>14</v>
      </c>
    </row>
    <row r="8" spans="1:38" ht="16.5">
      <c r="A8" s="45" t="str">
        <f>"C"&amp;C8&amp;"x"&amp;D8&amp;"x"&amp;E8&amp;"x"&amp;F8</f>
        <v>C150x50x20x1,9</v>
      </c>
      <c r="B8" s="46">
        <f>ROUND((I8*(10^-4)*7850),2)</f>
        <v>4.21</v>
      </c>
      <c r="C8" s="47">
        <v>150</v>
      </c>
      <c r="D8" s="47">
        <v>50</v>
      </c>
      <c r="E8" s="47">
        <v>20</v>
      </c>
      <c r="F8" s="47">
        <v>1.9</v>
      </c>
      <c r="G8" s="47"/>
      <c r="H8" s="47"/>
      <c r="I8" s="46">
        <f>ROUND(((R8*U8)+(2*V8*U8)+(2*W8*U8)),3)</f>
        <v>5.366</v>
      </c>
      <c r="J8" s="46">
        <f>ROUND((AB8+(AD8*2)+(AF8*2)),3)</f>
        <v>182.073</v>
      </c>
      <c r="K8" s="46">
        <f>ROUND((J8/R8),3)</f>
        <v>12.138</v>
      </c>
      <c r="L8" s="46">
        <f>ROUND((J8/I8),3)</f>
        <v>33.931</v>
      </c>
      <c r="M8" s="46">
        <f>ROUND((ABS((2*Y8)+(2*AA8))),3)</f>
        <v>7.878</v>
      </c>
      <c r="N8" s="46">
        <f>ROUND((AH8+(2*AJ8)+(2*AL8)),3)</f>
        <v>19.305</v>
      </c>
      <c r="O8" s="46">
        <f>ROUND((N8/(V8-(ABS(Q8)))),3)</f>
        <v>5.777</v>
      </c>
      <c r="P8" s="46">
        <f>ROUND((N8/I8),3)</f>
        <v>3.598</v>
      </c>
      <c r="Q8" s="46">
        <f>((2*Y8)+(2*AA8))/I8</f>
        <v>-1.4680987700335446</v>
      </c>
      <c r="R8" s="48">
        <f>C8/10</f>
        <v>15</v>
      </c>
      <c r="S8" s="48">
        <f>D8/10</f>
        <v>5</v>
      </c>
      <c r="T8" s="48">
        <f>E8/10</f>
        <v>2</v>
      </c>
      <c r="U8" s="48">
        <f>F8/10</f>
        <v>0.19</v>
      </c>
      <c r="V8" s="48">
        <f>S8-U8</f>
        <v>4.81</v>
      </c>
      <c r="W8" s="48">
        <f>T8-U8</f>
        <v>1.81</v>
      </c>
      <c r="X8" s="48">
        <f>(-U8/2)+(-V8/2)</f>
        <v>-2.5</v>
      </c>
      <c r="Y8" s="48">
        <f>V8*U8*X8</f>
        <v>-2.28475</v>
      </c>
      <c r="Z8" s="48">
        <f>-(S8-U8)</f>
        <v>-4.81</v>
      </c>
      <c r="AA8" s="48">
        <f>U8*W8*Z8</f>
        <v>-1.6541590000000002</v>
      </c>
      <c r="AB8" s="48">
        <f>U8*R8*R8*R8/12</f>
        <v>53.4375</v>
      </c>
      <c r="AC8" s="48">
        <f>(R8/2)-(U8/2)</f>
        <v>7.405</v>
      </c>
      <c r="AD8" s="48">
        <f>(V8*U8*U8*U8/12)+(V8*U8*AC8*AC8)</f>
        <v>50.11556476333333</v>
      </c>
      <c r="AE8" s="48">
        <f>(R8/2)-U8-(W8/2)</f>
        <v>6.404999999999999</v>
      </c>
      <c r="AF8" s="48">
        <f>(U8*W8*W8*W8/12)+(U8*W8*AE8*AE8)</f>
        <v>14.202049763333331</v>
      </c>
      <c r="AG8" s="48">
        <f>ABS(Q8)</f>
        <v>1.4680987700335446</v>
      </c>
      <c r="AH8" s="48">
        <f>(R8*U8*U8*U8/12)+(AG8*AG8*R8*U8)</f>
        <v>6.151218645935918</v>
      </c>
      <c r="AI8" s="48">
        <f>ABS((ABS(X8))-(ABS(Q8)))</f>
        <v>1.0319012299664554</v>
      </c>
      <c r="AJ8" s="48">
        <f>(U8*V8*V8*V8/12)+(AI8*AI8*U8*V8)</f>
        <v>2.7351459494618355</v>
      </c>
      <c r="AK8" s="48">
        <f>ABS((ABS(Z8))-(ABS(Q8)))</f>
        <v>3.341901229966455</v>
      </c>
      <c r="AL8" s="48">
        <f>(W8*U8*U8*U8/12)+(AK8*AK8*W8*U8)</f>
        <v>3.841814253263097</v>
      </c>
    </row>
    <row r="9" spans="1:38" ht="16.5">
      <c r="A9" s="45" t="str">
        <f aca="true" t="shared" si="0" ref="A9:A31">"C"&amp;C9&amp;"x"&amp;D9&amp;"x"&amp;E9&amp;"x"&amp;F9</f>
        <v>C150x50x20x2,4</v>
      </c>
      <c r="B9" s="46">
        <f aca="true" t="shared" si="1" ref="B9:B31">ROUND((I9*(10^-4)*7850),2)</f>
        <v>5.28</v>
      </c>
      <c r="C9" s="47">
        <v>150</v>
      </c>
      <c r="D9" s="47">
        <v>50</v>
      </c>
      <c r="E9" s="47">
        <v>20</v>
      </c>
      <c r="F9" s="47">
        <v>2.4</v>
      </c>
      <c r="G9" s="47"/>
      <c r="H9" s="47"/>
      <c r="I9" s="46">
        <f aca="true" t="shared" si="2" ref="I9:I31">ROUND(((R9*U9)+(2*V9*U9)+(2*W9*U9)),3)</f>
        <v>6.73</v>
      </c>
      <c r="J9" s="46">
        <f aca="true" t="shared" si="3" ref="J9:J31">ROUND((AB9+(AD9*2)+(AF9*2)),3)</f>
        <v>226.556</v>
      </c>
      <c r="K9" s="46">
        <f aca="true" t="shared" si="4" ref="K9:K30">ROUND((J9/R9),3)</f>
        <v>15.104</v>
      </c>
      <c r="L9" s="46">
        <f aca="true" t="shared" si="5" ref="L9:L30">ROUND((J9/I9),3)</f>
        <v>33.664</v>
      </c>
      <c r="M9" s="46">
        <f aca="true" t="shared" si="6" ref="M9:M30">ROUND((ABS((2*Y9)+(2*AA9))),3)</f>
        <v>9.733</v>
      </c>
      <c r="N9" s="46">
        <f aca="true" t="shared" si="7" ref="N9:N30">ROUND((AH9+(2*AJ9)+(2*AL9)),3)</f>
        <v>23.679</v>
      </c>
      <c r="O9" s="46">
        <f aca="true" t="shared" si="8" ref="O9:O30">ROUND((N9/(V9-(ABS(Q9)))),3)</f>
        <v>7.146</v>
      </c>
      <c r="P9" s="46">
        <f aca="true" t="shared" si="9" ref="P9:P30">ROUND((N9/I9),3)</f>
        <v>3.518</v>
      </c>
      <c r="Q9" s="46">
        <f aca="true" t="shared" si="10" ref="Q9:Q30">((2*Y9)+(2*AA9))/I9</f>
        <v>-1.4462478454680534</v>
      </c>
      <c r="R9" s="48">
        <f aca="true" t="shared" si="11" ref="R9:U24">C9/10</f>
        <v>15</v>
      </c>
      <c r="S9" s="48">
        <f t="shared" si="11"/>
        <v>5</v>
      </c>
      <c r="T9" s="48">
        <f t="shared" si="11"/>
        <v>2</v>
      </c>
      <c r="U9" s="48">
        <f t="shared" si="11"/>
        <v>0.24</v>
      </c>
      <c r="V9" s="48">
        <f aca="true" t="shared" si="12" ref="V9:V30">S9-U9</f>
        <v>4.76</v>
      </c>
      <c r="W9" s="48">
        <f aca="true" t="shared" si="13" ref="W9:W30">T9-U9</f>
        <v>1.76</v>
      </c>
      <c r="X9" s="48">
        <f aca="true" t="shared" si="14" ref="X9:X30">(-U9/2)+(-V9/2)</f>
        <v>-2.5</v>
      </c>
      <c r="Y9" s="48">
        <f aca="true" t="shared" si="15" ref="Y9:Y30">V9*U9*X9</f>
        <v>-2.856</v>
      </c>
      <c r="Z9" s="48">
        <f aca="true" t="shared" si="16" ref="Z9:Z30">-(S9-U9)</f>
        <v>-4.76</v>
      </c>
      <c r="AA9" s="48">
        <f aca="true" t="shared" si="17" ref="AA9:AA30">U9*W9*Z9</f>
        <v>-2.010624</v>
      </c>
      <c r="AB9" s="48">
        <f aca="true" t="shared" si="18" ref="AB9:AB30">U9*R9*R9*R9/12</f>
        <v>67.49999999999999</v>
      </c>
      <c r="AC9" s="48">
        <f aca="true" t="shared" si="19" ref="AC9:AC30">(R9/2)-(U9/2)</f>
        <v>7.38</v>
      </c>
      <c r="AD9" s="48">
        <f aca="true" t="shared" si="20" ref="AD9:AD30">(V9*U9*U9*U9/12)+(V9*U9*AC9*AC9)</f>
        <v>62.22561407999999</v>
      </c>
      <c r="AE9" s="48">
        <f aca="true" t="shared" si="21" ref="AE9:AE30">(R9/2)-U9-(W9/2)</f>
        <v>6.38</v>
      </c>
      <c r="AF9" s="48">
        <f aca="true" t="shared" si="22" ref="AF9:AF30">(U9*W9*W9*W9/12)+(U9*W9*AE9*AE9)</f>
        <v>17.30257408</v>
      </c>
      <c r="AG9" s="48">
        <f aca="true" t="shared" si="23" ref="AG9:AG30">ABS(Q9)</f>
        <v>1.4462478454680534</v>
      </c>
      <c r="AH9" s="48">
        <f aca="true" t="shared" si="24" ref="AH9:AH30">(R9*U9*U9*U9/12)+(AG9*AG9*R9*U9)</f>
        <v>7.547158189875551</v>
      </c>
      <c r="AI9" s="48">
        <f aca="true" t="shared" si="25" ref="AI9:AI30">ABS((ABS(X9))-(ABS(Q9)))</f>
        <v>1.0537521545319466</v>
      </c>
      <c r="AJ9" s="48">
        <f aca="true" t="shared" si="26" ref="AJ9:AJ30">(U9*V9*V9*V9/12)+(AI9*AI9*U9*V9)</f>
        <v>3.4255171722736533</v>
      </c>
      <c r="AK9" s="48">
        <f aca="true" t="shared" si="27" ref="AK9:AK30">ABS((ABS(Z9))-(ABS(Q9)))</f>
        <v>3.3137521545319464</v>
      </c>
      <c r="AL9" s="48">
        <f aca="true" t="shared" si="28" ref="AL9:AL30">(W9*U9*U9*U9/12)+(AK9*AK9*W9*U9)</f>
        <v>4.640382211519346</v>
      </c>
    </row>
    <row r="10" spans="1:38" ht="16.5">
      <c r="A10" s="45" t="str">
        <f t="shared" si="0"/>
        <v>C175x65x20x1,9</v>
      </c>
      <c r="B10" s="46">
        <f t="shared" si="1"/>
        <v>5.03</v>
      </c>
      <c r="C10" s="47">
        <v>175</v>
      </c>
      <c r="D10" s="47">
        <v>65</v>
      </c>
      <c r="E10" s="47">
        <v>20</v>
      </c>
      <c r="F10" s="47">
        <v>1.9</v>
      </c>
      <c r="G10" s="47"/>
      <c r="H10" s="47"/>
      <c r="I10" s="46">
        <f t="shared" si="2"/>
        <v>6.411</v>
      </c>
      <c r="J10" s="46">
        <f t="shared" si="3"/>
        <v>304.973</v>
      </c>
      <c r="K10" s="46">
        <f t="shared" si="4"/>
        <v>17.427</v>
      </c>
      <c r="L10" s="46">
        <f t="shared" si="5"/>
        <v>47.57</v>
      </c>
      <c r="M10" s="46">
        <f t="shared" si="6"/>
        <v>12.133</v>
      </c>
      <c r="N10" s="46">
        <f t="shared" si="7"/>
        <v>37.717</v>
      </c>
      <c r="O10" s="46">
        <f t="shared" si="8"/>
        <v>8.538</v>
      </c>
      <c r="P10" s="46">
        <f t="shared" si="9"/>
        <v>5.883</v>
      </c>
      <c r="Q10" s="46">
        <f t="shared" si="10"/>
        <v>-1.8925078770862578</v>
      </c>
      <c r="R10" s="48">
        <f t="shared" si="11"/>
        <v>17.5</v>
      </c>
      <c r="S10" s="48">
        <f t="shared" si="11"/>
        <v>6.5</v>
      </c>
      <c r="T10" s="48">
        <f t="shared" si="11"/>
        <v>2</v>
      </c>
      <c r="U10" s="48">
        <f t="shared" si="11"/>
        <v>0.19</v>
      </c>
      <c r="V10" s="48">
        <f t="shared" si="12"/>
        <v>6.31</v>
      </c>
      <c r="W10" s="48">
        <f t="shared" si="13"/>
        <v>1.81</v>
      </c>
      <c r="X10" s="48">
        <f t="shared" si="14"/>
        <v>-3.25</v>
      </c>
      <c r="Y10" s="48">
        <f t="shared" si="15"/>
        <v>-3.8964249999999994</v>
      </c>
      <c r="Z10" s="48">
        <f t="shared" si="16"/>
        <v>-6.31</v>
      </c>
      <c r="AA10" s="48">
        <f t="shared" si="17"/>
        <v>-2.1700090000000003</v>
      </c>
      <c r="AB10" s="48">
        <f t="shared" si="18"/>
        <v>84.85677083333333</v>
      </c>
      <c r="AC10" s="48">
        <f t="shared" si="19"/>
        <v>8.655</v>
      </c>
      <c r="AD10" s="48">
        <f t="shared" si="20"/>
        <v>89.81203676333331</v>
      </c>
      <c r="AE10" s="48">
        <f t="shared" si="21"/>
        <v>7.655</v>
      </c>
      <c r="AF10" s="48">
        <f t="shared" si="22"/>
        <v>20.24609226333334</v>
      </c>
      <c r="AG10" s="48">
        <f t="shared" si="23"/>
        <v>1.8925078770862578</v>
      </c>
      <c r="AH10" s="48">
        <f t="shared" si="24"/>
        <v>11.918776373904835</v>
      </c>
      <c r="AI10" s="48">
        <f t="shared" si="25"/>
        <v>1.3574921229137422</v>
      </c>
      <c r="AJ10" s="48">
        <f t="shared" si="26"/>
        <v>6.187274964010612</v>
      </c>
      <c r="AK10" s="48">
        <f t="shared" si="27"/>
        <v>4.417492122913742</v>
      </c>
      <c r="AL10" s="48">
        <f t="shared" si="28"/>
        <v>6.711980551833438</v>
      </c>
    </row>
    <row r="11" spans="1:38" ht="16.5">
      <c r="A11" s="45" t="str">
        <f t="shared" si="0"/>
        <v>C175x65x20x2,4</v>
      </c>
      <c r="B11" s="46">
        <f t="shared" si="1"/>
        <v>6.32</v>
      </c>
      <c r="C11" s="47">
        <v>175</v>
      </c>
      <c r="D11" s="47">
        <v>65</v>
      </c>
      <c r="E11" s="47">
        <v>20</v>
      </c>
      <c r="F11" s="47">
        <v>2.4</v>
      </c>
      <c r="G11" s="47"/>
      <c r="H11" s="47"/>
      <c r="I11" s="46">
        <f t="shared" si="2"/>
        <v>8.05</v>
      </c>
      <c r="J11" s="46">
        <f t="shared" si="3"/>
        <v>380.39</v>
      </c>
      <c r="K11" s="46">
        <f t="shared" si="4"/>
        <v>21.737</v>
      </c>
      <c r="L11" s="46">
        <f t="shared" si="5"/>
        <v>47.253</v>
      </c>
      <c r="M11" s="46">
        <f t="shared" si="6"/>
        <v>15.054</v>
      </c>
      <c r="N11" s="46">
        <f t="shared" si="7"/>
        <v>46.527</v>
      </c>
      <c r="O11" s="46">
        <f t="shared" si="8"/>
        <v>10.599</v>
      </c>
      <c r="P11" s="46">
        <f t="shared" si="9"/>
        <v>5.78</v>
      </c>
      <c r="Q11" s="46">
        <f t="shared" si="10"/>
        <v>-1.8700680745341611</v>
      </c>
      <c r="R11" s="48">
        <f t="shared" si="11"/>
        <v>17.5</v>
      </c>
      <c r="S11" s="48">
        <f t="shared" si="11"/>
        <v>6.5</v>
      </c>
      <c r="T11" s="48">
        <f t="shared" si="11"/>
        <v>2</v>
      </c>
      <c r="U11" s="48">
        <f t="shared" si="11"/>
        <v>0.24</v>
      </c>
      <c r="V11" s="48">
        <f t="shared" si="12"/>
        <v>6.26</v>
      </c>
      <c r="W11" s="48">
        <f t="shared" si="13"/>
        <v>1.76</v>
      </c>
      <c r="X11" s="48">
        <f t="shared" si="14"/>
        <v>-3.25</v>
      </c>
      <c r="Y11" s="48">
        <f t="shared" si="15"/>
        <v>-4.8828</v>
      </c>
      <c r="Z11" s="48">
        <f t="shared" si="16"/>
        <v>-6.26</v>
      </c>
      <c r="AA11" s="48">
        <f t="shared" si="17"/>
        <v>-2.644224</v>
      </c>
      <c r="AB11" s="48">
        <f t="shared" si="18"/>
        <v>107.1875</v>
      </c>
      <c r="AC11" s="48">
        <f t="shared" si="19"/>
        <v>8.63</v>
      </c>
      <c r="AD11" s="48">
        <f t="shared" si="20"/>
        <v>111.90130608000003</v>
      </c>
      <c r="AE11" s="48">
        <f t="shared" si="21"/>
        <v>7.63</v>
      </c>
      <c r="AF11" s="48">
        <f t="shared" si="22"/>
        <v>24.699854079999998</v>
      </c>
      <c r="AG11" s="48">
        <f t="shared" si="23"/>
        <v>1.8700680745341611</v>
      </c>
      <c r="AH11" s="48">
        <f t="shared" si="24"/>
        <v>14.708209334246002</v>
      </c>
      <c r="AI11" s="48">
        <f t="shared" si="25"/>
        <v>1.3799319254658389</v>
      </c>
      <c r="AJ11" s="48">
        <f t="shared" si="26"/>
        <v>7.767175807465193</v>
      </c>
      <c r="AK11" s="48">
        <f t="shared" si="27"/>
        <v>4.389931925465839</v>
      </c>
      <c r="AL11" s="48">
        <f t="shared" si="28"/>
        <v>8.142310095838706</v>
      </c>
    </row>
    <row r="12" spans="1:38" ht="16.5">
      <c r="A12" s="45" t="str">
        <f t="shared" si="0"/>
        <v>C200x65x20x2,4</v>
      </c>
      <c r="B12" s="46">
        <f t="shared" si="1"/>
        <v>6.79</v>
      </c>
      <c r="C12" s="47">
        <v>200</v>
      </c>
      <c r="D12" s="47">
        <v>65</v>
      </c>
      <c r="E12" s="47">
        <v>20</v>
      </c>
      <c r="F12" s="47">
        <v>2.4</v>
      </c>
      <c r="G12" s="47"/>
      <c r="H12" s="47"/>
      <c r="I12" s="46">
        <f t="shared" si="2"/>
        <v>8.65</v>
      </c>
      <c r="J12" s="46">
        <f t="shared" si="3"/>
        <v>520.16</v>
      </c>
      <c r="K12" s="46">
        <f t="shared" si="4"/>
        <v>26.008</v>
      </c>
      <c r="L12" s="46">
        <f t="shared" si="5"/>
        <v>60.134</v>
      </c>
      <c r="M12" s="46">
        <f t="shared" si="6"/>
        <v>15.054</v>
      </c>
      <c r="N12" s="46">
        <f t="shared" si="7"/>
        <v>48.483</v>
      </c>
      <c r="O12" s="46">
        <f t="shared" si="8"/>
        <v>10.727</v>
      </c>
      <c r="P12" s="46">
        <f t="shared" si="9"/>
        <v>5.605</v>
      </c>
      <c r="Q12" s="46">
        <f t="shared" si="10"/>
        <v>-1.7403523699421963</v>
      </c>
      <c r="R12" s="48">
        <f t="shared" si="11"/>
        <v>20</v>
      </c>
      <c r="S12" s="48">
        <f t="shared" si="11"/>
        <v>6.5</v>
      </c>
      <c r="T12" s="48">
        <f t="shared" si="11"/>
        <v>2</v>
      </c>
      <c r="U12" s="48">
        <f t="shared" si="11"/>
        <v>0.24</v>
      </c>
      <c r="V12" s="48">
        <f t="shared" si="12"/>
        <v>6.26</v>
      </c>
      <c r="W12" s="48">
        <f t="shared" si="13"/>
        <v>1.76</v>
      </c>
      <c r="X12" s="48">
        <f t="shared" si="14"/>
        <v>-3.25</v>
      </c>
      <c r="Y12" s="48">
        <f t="shared" si="15"/>
        <v>-4.8828</v>
      </c>
      <c r="Z12" s="48">
        <f t="shared" si="16"/>
        <v>-6.26</v>
      </c>
      <c r="AA12" s="48">
        <f t="shared" si="17"/>
        <v>-2.644224</v>
      </c>
      <c r="AB12" s="48">
        <f t="shared" si="18"/>
        <v>160</v>
      </c>
      <c r="AC12" s="48">
        <f t="shared" si="19"/>
        <v>9.88</v>
      </c>
      <c r="AD12" s="48">
        <f t="shared" si="20"/>
        <v>146.66308608</v>
      </c>
      <c r="AE12" s="48">
        <f t="shared" si="21"/>
        <v>8.879999999999999</v>
      </c>
      <c r="AF12" s="48">
        <f t="shared" si="22"/>
        <v>33.41713407999999</v>
      </c>
      <c r="AG12" s="48">
        <f t="shared" si="23"/>
        <v>1.7403523699421963</v>
      </c>
      <c r="AH12" s="48">
        <f t="shared" si="24"/>
        <v>14.561406583504413</v>
      </c>
      <c r="AI12" s="48">
        <f t="shared" si="25"/>
        <v>1.5096476300578037</v>
      </c>
      <c r="AJ12" s="48">
        <f t="shared" si="26"/>
        <v>8.330311156729369</v>
      </c>
      <c r="AK12" s="48">
        <f t="shared" si="27"/>
        <v>4.519647630057803</v>
      </c>
      <c r="AL12" s="48">
        <f t="shared" si="28"/>
        <v>8.63048300923232</v>
      </c>
    </row>
    <row r="13" spans="1:38" ht="16.5">
      <c r="A13" s="45" t="str">
        <f t="shared" si="0"/>
        <v>C200x65x20x3</v>
      </c>
      <c r="B13" s="46">
        <f t="shared" si="1"/>
        <v>8.43</v>
      </c>
      <c r="C13" s="47">
        <v>200</v>
      </c>
      <c r="D13" s="47">
        <v>65</v>
      </c>
      <c r="E13" s="47">
        <v>20</v>
      </c>
      <c r="F13" s="47">
        <v>3</v>
      </c>
      <c r="G13" s="47"/>
      <c r="H13" s="47"/>
      <c r="I13" s="46">
        <f t="shared" si="2"/>
        <v>10.74</v>
      </c>
      <c r="J13" s="46">
        <f t="shared" si="3"/>
        <v>641.086</v>
      </c>
      <c r="K13" s="46">
        <f t="shared" si="4"/>
        <v>32.054</v>
      </c>
      <c r="L13" s="46">
        <f t="shared" si="5"/>
        <v>59.691</v>
      </c>
      <c r="M13" s="46">
        <f t="shared" si="6"/>
        <v>18.414</v>
      </c>
      <c r="N13" s="46">
        <f t="shared" si="7"/>
        <v>58.899</v>
      </c>
      <c r="O13" s="46">
        <f t="shared" si="8"/>
        <v>13.131</v>
      </c>
      <c r="P13" s="46">
        <f t="shared" si="9"/>
        <v>5.484</v>
      </c>
      <c r="Q13" s="46">
        <f t="shared" si="10"/>
        <v>-1.7145251396648045</v>
      </c>
      <c r="R13" s="48">
        <f t="shared" si="11"/>
        <v>20</v>
      </c>
      <c r="S13" s="48">
        <f t="shared" si="11"/>
        <v>6.5</v>
      </c>
      <c r="T13" s="48">
        <f t="shared" si="11"/>
        <v>2</v>
      </c>
      <c r="U13" s="48">
        <f t="shared" si="11"/>
        <v>0.3</v>
      </c>
      <c r="V13" s="48">
        <f t="shared" si="12"/>
        <v>6.2</v>
      </c>
      <c r="W13" s="48">
        <f t="shared" si="13"/>
        <v>1.7</v>
      </c>
      <c r="X13" s="48">
        <f t="shared" si="14"/>
        <v>-3.25</v>
      </c>
      <c r="Y13" s="48">
        <f t="shared" si="15"/>
        <v>-6.045</v>
      </c>
      <c r="Z13" s="48">
        <f t="shared" si="16"/>
        <v>-6.2</v>
      </c>
      <c r="AA13" s="48">
        <f t="shared" si="17"/>
        <v>-3.1620000000000004</v>
      </c>
      <c r="AB13" s="48">
        <f t="shared" si="18"/>
        <v>200</v>
      </c>
      <c r="AC13" s="48">
        <f t="shared" si="19"/>
        <v>9.85</v>
      </c>
      <c r="AD13" s="48">
        <f t="shared" si="20"/>
        <v>180.47579999999996</v>
      </c>
      <c r="AE13" s="48">
        <f t="shared" si="21"/>
        <v>8.85</v>
      </c>
      <c r="AF13" s="48">
        <f t="shared" si="22"/>
        <v>40.067299999999996</v>
      </c>
      <c r="AG13" s="48">
        <f t="shared" si="23"/>
        <v>1.7145251396648045</v>
      </c>
      <c r="AH13" s="48">
        <f t="shared" si="24"/>
        <v>17.682578727255702</v>
      </c>
      <c r="AI13" s="48">
        <f t="shared" si="25"/>
        <v>1.5354748603351955</v>
      </c>
      <c r="AJ13" s="48">
        <f t="shared" si="26"/>
        <v>10.343490466901784</v>
      </c>
      <c r="AK13" s="48">
        <f t="shared" si="27"/>
        <v>4.485474860335196</v>
      </c>
      <c r="AL13" s="48">
        <f t="shared" si="28"/>
        <v>10.264762208576514</v>
      </c>
    </row>
    <row r="14" spans="1:38" ht="16.5">
      <c r="A14" s="45" t="str">
        <f t="shared" si="0"/>
        <v>C100x60x20x2</v>
      </c>
      <c r="B14" s="46">
        <f t="shared" si="1"/>
        <v>3.96</v>
      </c>
      <c r="C14" s="47">
        <v>100</v>
      </c>
      <c r="D14" s="47">
        <v>60</v>
      </c>
      <c r="E14" s="47">
        <v>20</v>
      </c>
      <c r="F14" s="47">
        <v>2</v>
      </c>
      <c r="G14" s="47"/>
      <c r="H14" s="47"/>
      <c r="I14" s="46">
        <f t="shared" si="2"/>
        <v>5.04</v>
      </c>
      <c r="J14" s="46">
        <f t="shared" si="3"/>
        <v>83.523</v>
      </c>
      <c r="K14" s="46">
        <f t="shared" si="4"/>
        <v>8.352</v>
      </c>
      <c r="L14" s="46">
        <f t="shared" si="5"/>
        <v>16.572</v>
      </c>
      <c r="M14" s="46">
        <f t="shared" si="6"/>
        <v>11.136</v>
      </c>
      <c r="N14" s="46">
        <f t="shared" si="7"/>
        <v>27.008</v>
      </c>
      <c r="O14" s="46">
        <f t="shared" si="8"/>
        <v>7.522</v>
      </c>
      <c r="P14" s="46">
        <f t="shared" si="9"/>
        <v>5.359</v>
      </c>
      <c r="Q14" s="46">
        <f t="shared" si="10"/>
        <v>-2.2095238095238092</v>
      </c>
      <c r="R14" s="48">
        <f t="shared" si="11"/>
        <v>10</v>
      </c>
      <c r="S14" s="48">
        <f t="shared" si="11"/>
        <v>6</v>
      </c>
      <c r="T14" s="48">
        <f t="shared" si="11"/>
        <v>2</v>
      </c>
      <c r="U14" s="48">
        <f t="shared" si="11"/>
        <v>0.2</v>
      </c>
      <c r="V14" s="48">
        <f t="shared" si="12"/>
        <v>5.8</v>
      </c>
      <c r="W14" s="48">
        <f t="shared" si="13"/>
        <v>1.8</v>
      </c>
      <c r="X14" s="48">
        <f t="shared" si="14"/>
        <v>-3</v>
      </c>
      <c r="Y14" s="48">
        <f t="shared" si="15"/>
        <v>-3.4799999999999995</v>
      </c>
      <c r="Z14" s="48">
        <f t="shared" si="16"/>
        <v>-5.8</v>
      </c>
      <c r="AA14" s="48">
        <f t="shared" si="17"/>
        <v>-2.088</v>
      </c>
      <c r="AB14" s="48">
        <f t="shared" si="18"/>
        <v>16.666666666666668</v>
      </c>
      <c r="AC14" s="48">
        <f t="shared" si="19"/>
        <v>4.9</v>
      </c>
      <c r="AD14" s="48">
        <f t="shared" si="20"/>
        <v>27.85546666666667</v>
      </c>
      <c r="AE14" s="48">
        <f t="shared" si="21"/>
        <v>3.9</v>
      </c>
      <c r="AF14" s="48">
        <f t="shared" si="22"/>
        <v>5.5728</v>
      </c>
      <c r="AG14" s="48">
        <f t="shared" si="23"/>
        <v>2.2095238095238092</v>
      </c>
      <c r="AH14" s="48">
        <f t="shared" si="24"/>
        <v>9.77065759637188</v>
      </c>
      <c r="AI14" s="48">
        <f t="shared" si="25"/>
        <v>0.7904761904761908</v>
      </c>
      <c r="AJ14" s="48">
        <f t="shared" si="26"/>
        <v>3.9766956916099776</v>
      </c>
      <c r="AK14" s="48">
        <f t="shared" si="27"/>
        <v>3.5904761904761906</v>
      </c>
      <c r="AL14" s="48">
        <f t="shared" si="28"/>
        <v>4.64214693877551</v>
      </c>
    </row>
    <row r="15" spans="1:38" ht="16.5">
      <c r="A15" s="45" t="str">
        <f t="shared" si="0"/>
        <v>C150x50x15x2</v>
      </c>
      <c r="B15" s="46">
        <f t="shared" si="1"/>
        <v>4.27</v>
      </c>
      <c r="C15" s="47">
        <v>150</v>
      </c>
      <c r="D15" s="47">
        <v>50</v>
      </c>
      <c r="E15" s="47">
        <v>15</v>
      </c>
      <c r="F15" s="47">
        <v>2</v>
      </c>
      <c r="G15" s="47"/>
      <c r="H15" s="47"/>
      <c r="I15" s="46">
        <f t="shared" si="2"/>
        <v>5.44</v>
      </c>
      <c r="J15" s="46">
        <f t="shared" si="3"/>
        <v>184.465</v>
      </c>
      <c r="K15" s="46">
        <f t="shared" si="4"/>
        <v>12.298</v>
      </c>
      <c r="L15" s="46">
        <f t="shared" si="5"/>
        <v>33.909</v>
      </c>
      <c r="M15" s="46">
        <f t="shared" si="6"/>
        <v>7.296</v>
      </c>
      <c r="N15" s="46">
        <f t="shared" si="7"/>
        <v>17.894</v>
      </c>
      <c r="O15" s="46">
        <f t="shared" si="8"/>
        <v>5.173</v>
      </c>
      <c r="P15" s="46">
        <f t="shared" si="9"/>
        <v>3.289</v>
      </c>
      <c r="Q15" s="46">
        <f t="shared" si="10"/>
        <v>-1.3411764705882352</v>
      </c>
      <c r="R15" s="48">
        <f t="shared" si="11"/>
        <v>15</v>
      </c>
      <c r="S15" s="48">
        <f t="shared" si="11"/>
        <v>5</v>
      </c>
      <c r="T15" s="48">
        <f t="shared" si="11"/>
        <v>1.5</v>
      </c>
      <c r="U15" s="48">
        <f t="shared" si="11"/>
        <v>0.2</v>
      </c>
      <c r="V15" s="48">
        <f t="shared" si="12"/>
        <v>4.8</v>
      </c>
      <c r="W15" s="48">
        <f t="shared" si="13"/>
        <v>1.3</v>
      </c>
      <c r="X15" s="48">
        <f t="shared" si="14"/>
        <v>-2.5</v>
      </c>
      <c r="Y15" s="48">
        <f t="shared" si="15"/>
        <v>-2.4</v>
      </c>
      <c r="Z15" s="48">
        <f t="shared" si="16"/>
        <v>-4.8</v>
      </c>
      <c r="AA15" s="48">
        <f t="shared" si="17"/>
        <v>-1.248</v>
      </c>
      <c r="AB15" s="48">
        <f t="shared" si="18"/>
        <v>56.25</v>
      </c>
      <c r="AC15" s="48">
        <f t="shared" si="19"/>
        <v>7.4</v>
      </c>
      <c r="AD15" s="48">
        <f t="shared" si="20"/>
        <v>52.5728</v>
      </c>
      <c r="AE15" s="48">
        <f t="shared" si="21"/>
        <v>6.6499999999999995</v>
      </c>
      <c r="AF15" s="48">
        <f t="shared" si="22"/>
        <v>11.534466666666665</v>
      </c>
      <c r="AG15" s="48">
        <f t="shared" si="23"/>
        <v>1.3411764705882352</v>
      </c>
      <c r="AH15" s="48">
        <f t="shared" si="24"/>
        <v>5.406262975778546</v>
      </c>
      <c r="AI15" s="48">
        <f t="shared" si="25"/>
        <v>1.1588235294117648</v>
      </c>
      <c r="AJ15" s="48">
        <f t="shared" si="26"/>
        <v>3.1323570934256058</v>
      </c>
      <c r="AK15" s="48">
        <f t="shared" si="27"/>
        <v>3.458823529411765</v>
      </c>
      <c r="AL15" s="48">
        <f t="shared" si="28"/>
        <v>3.111366320645906</v>
      </c>
    </row>
    <row r="16" spans="1:38" ht="16.5">
      <c r="A16" s="45" t="str">
        <f t="shared" si="0"/>
        <v>C175x50x20x1,8</v>
      </c>
      <c r="B16" s="46">
        <f t="shared" si="1"/>
        <v>4.35</v>
      </c>
      <c r="C16" s="47">
        <v>175</v>
      </c>
      <c r="D16" s="47">
        <v>50</v>
      </c>
      <c r="E16" s="47">
        <v>20</v>
      </c>
      <c r="F16" s="47">
        <v>1.8</v>
      </c>
      <c r="G16" s="47"/>
      <c r="H16" s="47"/>
      <c r="I16" s="46">
        <f t="shared" si="2"/>
        <v>5.54</v>
      </c>
      <c r="J16" s="46">
        <f t="shared" si="3"/>
        <v>249.153</v>
      </c>
      <c r="K16" s="46">
        <f t="shared" si="4"/>
        <v>14.237</v>
      </c>
      <c r="L16" s="46">
        <f t="shared" si="5"/>
        <v>44.973</v>
      </c>
      <c r="M16" s="46">
        <f t="shared" si="6"/>
        <v>7.496</v>
      </c>
      <c r="N16" s="46">
        <f t="shared" si="7"/>
        <v>19.295</v>
      </c>
      <c r="O16" s="46">
        <f t="shared" si="8"/>
        <v>5.565</v>
      </c>
      <c r="P16" s="46">
        <f t="shared" si="9"/>
        <v>3.483</v>
      </c>
      <c r="Q16" s="46">
        <f t="shared" si="10"/>
        <v>-1.353080144404332</v>
      </c>
      <c r="R16" s="48">
        <f t="shared" si="11"/>
        <v>17.5</v>
      </c>
      <c r="S16" s="48">
        <f t="shared" si="11"/>
        <v>5</v>
      </c>
      <c r="T16" s="48">
        <f t="shared" si="11"/>
        <v>2</v>
      </c>
      <c r="U16" s="48">
        <f t="shared" si="11"/>
        <v>0.18</v>
      </c>
      <c r="V16" s="48">
        <f t="shared" si="12"/>
        <v>4.82</v>
      </c>
      <c r="W16" s="48">
        <f t="shared" si="13"/>
        <v>1.82</v>
      </c>
      <c r="X16" s="48">
        <f t="shared" si="14"/>
        <v>-2.5</v>
      </c>
      <c r="Y16" s="48">
        <f t="shared" si="15"/>
        <v>-2.169</v>
      </c>
      <c r="Z16" s="48">
        <f t="shared" si="16"/>
        <v>-4.82</v>
      </c>
      <c r="AA16" s="48">
        <f t="shared" si="17"/>
        <v>-1.5790320000000002</v>
      </c>
      <c r="AB16" s="48">
        <f t="shared" si="18"/>
        <v>80.390625</v>
      </c>
      <c r="AC16" s="48">
        <f t="shared" si="19"/>
        <v>8.66</v>
      </c>
      <c r="AD16" s="48">
        <f t="shared" si="20"/>
        <v>65.06852508</v>
      </c>
      <c r="AE16" s="48">
        <f t="shared" si="21"/>
        <v>7.66</v>
      </c>
      <c r="AF16" s="48">
        <f t="shared" si="22"/>
        <v>19.31255508</v>
      </c>
      <c r="AG16" s="48">
        <f t="shared" si="23"/>
        <v>1.353080144404332</v>
      </c>
      <c r="AH16" s="48">
        <f t="shared" si="24"/>
        <v>5.775606513120932</v>
      </c>
      <c r="AI16" s="48">
        <f t="shared" si="25"/>
        <v>1.146919855595668</v>
      </c>
      <c r="AJ16" s="48">
        <f t="shared" si="26"/>
        <v>2.8209653846164584</v>
      </c>
      <c r="AK16" s="48">
        <f t="shared" si="27"/>
        <v>3.466919855595668</v>
      </c>
      <c r="AL16" s="48">
        <f t="shared" si="28"/>
        <v>3.938483624206454</v>
      </c>
    </row>
    <row r="17" spans="1:38" ht="16.5">
      <c r="A17" s="45" t="str">
        <f t="shared" si="0"/>
        <v>C100x50x15x1,8</v>
      </c>
      <c r="B17" s="46">
        <f t="shared" si="1"/>
        <v>3.15</v>
      </c>
      <c r="C17" s="47">
        <v>100</v>
      </c>
      <c r="D17" s="47">
        <v>50</v>
      </c>
      <c r="E17" s="47">
        <v>15</v>
      </c>
      <c r="F17" s="47">
        <v>1.8</v>
      </c>
      <c r="G17" s="47"/>
      <c r="H17" s="47"/>
      <c r="I17" s="46">
        <f t="shared" si="2"/>
        <v>4.01</v>
      </c>
      <c r="J17" s="46">
        <f t="shared" si="3"/>
        <v>65.13</v>
      </c>
      <c r="K17" s="46">
        <f t="shared" si="4"/>
        <v>6.513</v>
      </c>
      <c r="L17" s="46">
        <f t="shared" si="5"/>
        <v>16.242</v>
      </c>
      <c r="M17" s="46">
        <f t="shared" si="6"/>
        <v>6.628</v>
      </c>
      <c r="N17" s="46">
        <f t="shared" si="7"/>
        <v>14.295</v>
      </c>
      <c r="O17" s="46">
        <f t="shared" si="8"/>
        <v>4.514</v>
      </c>
      <c r="P17" s="46">
        <f t="shared" si="9"/>
        <v>3.565</v>
      </c>
      <c r="Q17" s="46">
        <f t="shared" si="10"/>
        <v>-1.6529835411471323</v>
      </c>
      <c r="R17" s="48">
        <f t="shared" si="11"/>
        <v>10</v>
      </c>
      <c r="S17" s="48">
        <f t="shared" si="11"/>
        <v>5</v>
      </c>
      <c r="T17" s="48">
        <f t="shared" si="11"/>
        <v>1.5</v>
      </c>
      <c r="U17" s="48">
        <f t="shared" si="11"/>
        <v>0.18</v>
      </c>
      <c r="V17" s="48">
        <f t="shared" si="12"/>
        <v>4.82</v>
      </c>
      <c r="W17" s="48">
        <f t="shared" si="13"/>
        <v>1.32</v>
      </c>
      <c r="X17" s="48">
        <f t="shared" si="14"/>
        <v>-2.5</v>
      </c>
      <c r="Y17" s="48">
        <f t="shared" si="15"/>
        <v>-2.169</v>
      </c>
      <c r="Z17" s="48">
        <f t="shared" si="16"/>
        <v>-4.82</v>
      </c>
      <c r="AA17" s="48">
        <f t="shared" si="17"/>
        <v>-1.145232</v>
      </c>
      <c r="AB17" s="48">
        <f t="shared" si="18"/>
        <v>15</v>
      </c>
      <c r="AC17" s="48">
        <f t="shared" si="19"/>
        <v>4.91</v>
      </c>
      <c r="AD17" s="48">
        <f t="shared" si="20"/>
        <v>20.918530080000004</v>
      </c>
      <c r="AE17" s="48">
        <f t="shared" si="21"/>
        <v>4.16</v>
      </c>
      <c r="AF17" s="48">
        <f t="shared" si="22"/>
        <v>4.14631008</v>
      </c>
      <c r="AG17" s="48">
        <f t="shared" si="23"/>
        <v>1.6529835411471323</v>
      </c>
      <c r="AH17" s="48">
        <f t="shared" si="24"/>
        <v>4.923098257145963</v>
      </c>
      <c r="AI17" s="48">
        <f t="shared" si="25"/>
        <v>0.8470164588528677</v>
      </c>
      <c r="AJ17" s="48">
        <f t="shared" si="26"/>
        <v>2.3021507584480947</v>
      </c>
      <c r="AK17" s="48">
        <f t="shared" si="27"/>
        <v>3.167016458852868</v>
      </c>
      <c r="AL17" s="48">
        <f t="shared" si="28"/>
        <v>2.3837679163532424</v>
      </c>
    </row>
    <row r="18" spans="1:38" ht="16.5">
      <c r="A18" s="45" t="str">
        <f t="shared" si="0"/>
        <v>C175x50x15x2</v>
      </c>
      <c r="B18" s="46">
        <f t="shared" si="1"/>
        <v>4.66</v>
      </c>
      <c r="C18" s="47">
        <v>175</v>
      </c>
      <c r="D18" s="47">
        <v>50</v>
      </c>
      <c r="E18" s="47">
        <v>15</v>
      </c>
      <c r="F18" s="47">
        <v>2</v>
      </c>
      <c r="G18" s="47"/>
      <c r="H18" s="47"/>
      <c r="I18" s="46">
        <f t="shared" si="2"/>
        <v>5.94</v>
      </c>
      <c r="J18" s="46">
        <f t="shared" si="3"/>
        <v>265.515</v>
      </c>
      <c r="K18" s="46">
        <f t="shared" si="4"/>
        <v>15.172</v>
      </c>
      <c r="L18" s="46">
        <f t="shared" si="5"/>
        <v>44.699</v>
      </c>
      <c r="M18" s="46">
        <f t="shared" si="6"/>
        <v>7.296</v>
      </c>
      <c r="N18" s="46">
        <f t="shared" si="7"/>
        <v>18.719</v>
      </c>
      <c r="O18" s="46">
        <f t="shared" si="8"/>
        <v>5.241</v>
      </c>
      <c r="P18" s="46">
        <f t="shared" si="9"/>
        <v>3.151</v>
      </c>
      <c r="Q18" s="46">
        <f t="shared" si="10"/>
        <v>-1.2282828282828282</v>
      </c>
      <c r="R18" s="48">
        <f t="shared" si="11"/>
        <v>17.5</v>
      </c>
      <c r="S18" s="48">
        <f t="shared" si="11"/>
        <v>5</v>
      </c>
      <c r="T18" s="48">
        <f t="shared" si="11"/>
        <v>1.5</v>
      </c>
      <c r="U18" s="48">
        <f t="shared" si="11"/>
        <v>0.2</v>
      </c>
      <c r="V18" s="48">
        <f t="shared" si="12"/>
        <v>4.8</v>
      </c>
      <c r="W18" s="48">
        <f t="shared" si="13"/>
        <v>1.3</v>
      </c>
      <c r="X18" s="48">
        <f t="shared" si="14"/>
        <v>-2.5</v>
      </c>
      <c r="Y18" s="48">
        <f t="shared" si="15"/>
        <v>-2.4</v>
      </c>
      <c r="Z18" s="48">
        <f t="shared" si="16"/>
        <v>-4.8</v>
      </c>
      <c r="AA18" s="48">
        <f t="shared" si="17"/>
        <v>-1.248</v>
      </c>
      <c r="AB18" s="48">
        <f t="shared" si="18"/>
        <v>89.32291666666667</v>
      </c>
      <c r="AC18" s="48">
        <f t="shared" si="19"/>
        <v>8.65</v>
      </c>
      <c r="AD18" s="48">
        <f t="shared" si="20"/>
        <v>71.8328</v>
      </c>
      <c r="AE18" s="48">
        <f t="shared" si="21"/>
        <v>7.9</v>
      </c>
      <c r="AF18" s="48">
        <f t="shared" si="22"/>
        <v>16.26321666666667</v>
      </c>
      <c r="AG18" s="48">
        <f t="shared" si="23"/>
        <v>1.2282828282828282</v>
      </c>
      <c r="AH18" s="48">
        <f t="shared" si="24"/>
        <v>5.2920421385572896</v>
      </c>
      <c r="AI18" s="48">
        <f t="shared" si="25"/>
        <v>1.2717171717171718</v>
      </c>
      <c r="AJ18" s="48">
        <f t="shared" si="26"/>
        <v>3.3957739822467095</v>
      </c>
      <c r="AK18" s="48">
        <f t="shared" si="27"/>
        <v>3.5717171717171716</v>
      </c>
      <c r="AL18" s="48">
        <f t="shared" si="28"/>
        <v>3.317729190898888</v>
      </c>
    </row>
    <row r="19" spans="1:38" ht="16.5">
      <c r="A19" s="45" t="str">
        <f t="shared" si="0"/>
        <v>C175x65x15x2</v>
      </c>
      <c r="B19" s="46">
        <f t="shared" si="1"/>
        <v>5.13</v>
      </c>
      <c r="C19" s="47">
        <v>175</v>
      </c>
      <c r="D19" s="47">
        <v>65</v>
      </c>
      <c r="E19" s="47">
        <v>15</v>
      </c>
      <c r="F19" s="47">
        <v>2</v>
      </c>
      <c r="G19" s="47"/>
      <c r="H19" s="47"/>
      <c r="I19" s="46">
        <f t="shared" si="2"/>
        <v>6.54</v>
      </c>
      <c r="J19" s="46">
        <f t="shared" si="3"/>
        <v>310.41</v>
      </c>
      <c r="K19" s="46">
        <f t="shared" si="4"/>
        <v>17.738</v>
      </c>
      <c r="L19" s="46">
        <f t="shared" si="5"/>
        <v>47.463</v>
      </c>
      <c r="M19" s="46">
        <f t="shared" si="6"/>
        <v>11.466</v>
      </c>
      <c r="N19" s="46">
        <f t="shared" si="7"/>
        <v>35.502</v>
      </c>
      <c r="O19" s="46">
        <f t="shared" si="8"/>
        <v>7.808</v>
      </c>
      <c r="P19" s="46">
        <f t="shared" si="9"/>
        <v>5.428</v>
      </c>
      <c r="Q19" s="46">
        <f t="shared" si="10"/>
        <v>-1.7532110091743118</v>
      </c>
      <c r="R19" s="48">
        <f t="shared" si="11"/>
        <v>17.5</v>
      </c>
      <c r="S19" s="48">
        <f t="shared" si="11"/>
        <v>6.5</v>
      </c>
      <c r="T19" s="48">
        <f t="shared" si="11"/>
        <v>1.5</v>
      </c>
      <c r="U19" s="48">
        <f t="shared" si="11"/>
        <v>0.2</v>
      </c>
      <c r="V19" s="48">
        <f t="shared" si="12"/>
        <v>6.3</v>
      </c>
      <c r="W19" s="48">
        <f t="shared" si="13"/>
        <v>1.3</v>
      </c>
      <c r="X19" s="48">
        <f t="shared" si="14"/>
        <v>-3.25</v>
      </c>
      <c r="Y19" s="48">
        <f t="shared" si="15"/>
        <v>-4.095</v>
      </c>
      <c r="Z19" s="48">
        <f t="shared" si="16"/>
        <v>-6.3</v>
      </c>
      <c r="AA19" s="48">
        <f t="shared" si="17"/>
        <v>-1.638</v>
      </c>
      <c r="AB19" s="48">
        <f t="shared" si="18"/>
        <v>89.32291666666667</v>
      </c>
      <c r="AC19" s="48">
        <f t="shared" si="19"/>
        <v>8.65</v>
      </c>
      <c r="AD19" s="48">
        <f t="shared" si="20"/>
        <v>94.28055</v>
      </c>
      <c r="AE19" s="48">
        <f t="shared" si="21"/>
        <v>7.9</v>
      </c>
      <c r="AF19" s="48">
        <f t="shared" si="22"/>
        <v>16.26321666666667</v>
      </c>
      <c r="AG19" s="48">
        <f t="shared" si="23"/>
        <v>1.7532110091743118</v>
      </c>
      <c r="AH19" s="48">
        <f t="shared" si="24"/>
        <v>10.769787616081699</v>
      </c>
      <c r="AI19" s="48">
        <f t="shared" si="25"/>
        <v>1.4967889908256882</v>
      </c>
      <c r="AJ19" s="48">
        <f t="shared" si="26"/>
        <v>6.990325376651797</v>
      </c>
      <c r="AK19" s="48">
        <f t="shared" si="27"/>
        <v>4.5467889908256875</v>
      </c>
      <c r="AL19" s="48">
        <f t="shared" si="28"/>
        <v>5.375922099711023</v>
      </c>
    </row>
    <row r="20" spans="1:38" ht="16.5">
      <c r="A20" s="45" t="str">
        <f t="shared" si="0"/>
        <v>C150x50x15x1,8</v>
      </c>
      <c r="B20" s="46">
        <f t="shared" si="1"/>
        <v>3.85</v>
      </c>
      <c r="C20" s="47">
        <v>150</v>
      </c>
      <c r="D20" s="47">
        <v>50</v>
      </c>
      <c r="E20" s="47">
        <v>15</v>
      </c>
      <c r="F20" s="47">
        <v>1.8</v>
      </c>
      <c r="G20" s="47"/>
      <c r="H20" s="47"/>
      <c r="I20" s="46">
        <f t="shared" si="2"/>
        <v>4.91</v>
      </c>
      <c r="J20" s="46">
        <f t="shared" si="3"/>
        <v>167.053</v>
      </c>
      <c r="K20" s="46">
        <f t="shared" si="4"/>
        <v>11.137</v>
      </c>
      <c r="L20" s="46">
        <f t="shared" si="5"/>
        <v>34.023</v>
      </c>
      <c r="M20" s="46">
        <f t="shared" si="6"/>
        <v>6.628</v>
      </c>
      <c r="N20" s="46">
        <f t="shared" si="7"/>
        <v>16.305</v>
      </c>
      <c r="O20" s="46">
        <f t="shared" si="8"/>
        <v>4.699</v>
      </c>
      <c r="P20" s="46">
        <f t="shared" si="9"/>
        <v>3.321</v>
      </c>
      <c r="Q20" s="46">
        <f t="shared" si="10"/>
        <v>-1.3499926680244398</v>
      </c>
      <c r="R20" s="48">
        <f t="shared" si="11"/>
        <v>15</v>
      </c>
      <c r="S20" s="48">
        <f t="shared" si="11"/>
        <v>5</v>
      </c>
      <c r="T20" s="48">
        <f t="shared" si="11"/>
        <v>1.5</v>
      </c>
      <c r="U20" s="48">
        <f t="shared" si="11"/>
        <v>0.18</v>
      </c>
      <c r="V20" s="48">
        <f t="shared" si="12"/>
        <v>4.82</v>
      </c>
      <c r="W20" s="48">
        <f t="shared" si="13"/>
        <v>1.32</v>
      </c>
      <c r="X20" s="48">
        <f t="shared" si="14"/>
        <v>-2.5</v>
      </c>
      <c r="Y20" s="48">
        <f t="shared" si="15"/>
        <v>-2.169</v>
      </c>
      <c r="Z20" s="48">
        <f t="shared" si="16"/>
        <v>-4.82</v>
      </c>
      <c r="AA20" s="48">
        <f t="shared" si="17"/>
        <v>-1.145232</v>
      </c>
      <c r="AB20" s="48">
        <f t="shared" si="18"/>
        <v>50.62499999999999</v>
      </c>
      <c r="AC20" s="48">
        <f t="shared" si="19"/>
        <v>7.41</v>
      </c>
      <c r="AD20" s="48">
        <f t="shared" si="20"/>
        <v>47.64061008</v>
      </c>
      <c r="AE20" s="48">
        <f t="shared" si="21"/>
        <v>6.66</v>
      </c>
      <c r="AF20" s="48">
        <f t="shared" si="22"/>
        <v>10.573390080000001</v>
      </c>
      <c r="AG20" s="48">
        <f t="shared" si="23"/>
        <v>1.3499926680244398</v>
      </c>
      <c r="AH20" s="48">
        <f t="shared" si="24"/>
        <v>4.927986550043313</v>
      </c>
      <c r="AI20" s="48">
        <f t="shared" si="25"/>
        <v>1.1500073319755602</v>
      </c>
      <c r="AJ20" s="48">
        <f t="shared" si="26"/>
        <v>2.827118150857231</v>
      </c>
      <c r="AK20" s="48">
        <f t="shared" si="27"/>
        <v>3.4700073319755607</v>
      </c>
      <c r="AL20" s="48">
        <f t="shared" si="28"/>
        <v>2.8615714500298814</v>
      </c>
    </row>
    <row r="21" spans="1:38" ht="16.5">
      <c r="A21" s="45" t="str">
        <f t="shared" si="0"/>
        <v>C250x65x20x1,8</v>
      </c>
      <c r="B21" s="46">
        <f t="shared" si="1"/>
        <v>5.83</v>
      </c>
      <c r="C21" s="47">
        <v>250</v>
      </c>
      <c r="D21" s="47">
        <v>65</v>
      </c>
      <c r="E21" s="47">
        <v>20</v>
      </c>
      <c r="F21" s="47">
        <v>1.8</v>
      </c>
      <c r="G21" s="47"/>
      <c r="H21" s="47"/>
      <c r="I21" s="46">
        <f t="shared" si="2"/>
        <v>7.43</v>
      </c>
      <c r="J21" s="46">
        <f t="shared" si="3"/>
        <v>670.26</v>
      </c>
      <c r="K21" s="46">
        <f t="shared" si="4"/>
        <v>26.81</v>
      </c>
      <c r="L21" s="46">
        <f t="shared" si="5"/>
        <v>90.21</v>
      </c>
      <c r="M21" s="46">
        <f t="shared" si="6"/>
        <v>11.535</v>
      </c>
      <c r="N21" s="46">
        <f>ROUND((AH21+(2*AJ21)+(2*AL21)),1)</f>
        <v>39.9</v>
      </c>
      <c r="O21" s="46">
        <f t="shared" si="8"/>
        <v>8.369</v>
      </c>
      <c r="P21" s="46">
        <f t="shared" si="9"/>
        <v>5.37</v>
      </c>
      <c r="Q21" s="46">
        <f t="shared" si="10"/>
        <v>-1.5525254374158817</v>
      </c>
      <c r="R21" s="48">
        <f t="shared" si="11"/>
        <v>25</v>
      </c>
      <c r="S21" s="48">
        <f t="shared" si="11"/>
        <v>6.5</v>
      </c>
      <c r="T21" s="48">
        <f t="shared" si="11"/>
        <v>2</v>
      </c>
      <c r="U21" s="48">
        <f t="shared" si="11"/>
        <v>0.18</v>
      </c>
      <c r="V21" s="48">
        <f t="shared" si="12"/>
        <v>6.32</v>
      </c>
      <c r="W21" s="48">
        <f t="shared" si="13"/>
        <v>1.82</v>
      </c>
      <c r="X21" s="48">
        <f t="shared" si="14"/>
        <v>-3.25</v>
      </c>
      <c r="Y21" s="48">
        <f t="shared" si="15"/>
        <v>-3.6971999999999996</v>
      </c>
      <c r="Z21" s="48">
        <f t="shared" si="16"/>
        <v>-6.32</v>
      </c>
      <c r="AA21" s="48">
        <f t="shared" si="17"/>
        <v>-2.0704320000000003</v>
      </c>
      <c r="AB21" s="48">
        <f t="shared" si="18"/>
        <v>234.375</v>
      </c>
      <c r="AC21" s="48">
        <f t="shared" si="19"/>
        <v>12.41</v>
      </c>
      <c r="AD21" s="48">
        <f t="shared" si="20"/>
        <v>175.20268608</v>
      </c>
      <c r="AE21" s="48">
        <f t="shared" si="21"/>
        <v>11.41</v>
      </c>
      <c r="AF21" s="48">
        <f t="shared" si="22"/>
        <v>42.74005008</v>
      </c>
      <c r="AG21" s="48">
        <f t="shared" si="23"/>
        <v>1.5525254374158817</v>
      </c>
      <c r="AH21" s="48">
        <f t="shared" si="24"/>
        <v>10.858658552205187</v>
      </c>
      <c r="AI21" s="48">
        <f t="shared" si="25"/>
        <v>1.6974745625841183</v>
      </c>
      <c r="AJ21" s="48">
        <f t="shared" si="26"/>
        <v>7.064442787569476</v>
      </c>
      <c r="AK21" s="48">
        <f t="shared" si="27"/>
        <v>4.767474562584119</v>
      </c>
      <c r="AL21" s="48">
        <f t="shared" si="28"/>
        <v>7.446843889720862</v>
      </c>
    </row>
    <row r="22" spans="1:38" ht="16.5">
      <c r="A22" s="45" t="str">
        <f t="shared" si="0"/>
        <v>C300x65x20x2,3</v>
      </c>
      <c r="B22" s="46">
        <f t="shared" si="1"/>
        <v>8.32</v>
      </c>
      <c r="C22" s="47">
        <v>300</v>
      </c>
      <c r="D22" s="47">
        <v>65</v>
      </c>
      <c r="E22" s="47">
        <v>20</v>
      </c>
      <c r="F22" s="47">
        <v>2.3</v>
      </c>
      <c r="G22" s="47"/>
      <c r="H22" s="47"/>
      <c r="I22" s="46">
        <f t="shared" si="2"/>
        <v>10.598</v>
      </c>
      <c r="J22" s="46">
        <f t="shared" si="3"/>
        <v>1313.73</v>
      </c>
      <c r="K22" s="46">
        <f t="shared" si="4"/>
        <v>43.791</v>
      </c>
      <c r="L22" s="46">
        <f t="shared" si="5"/>
        <v>123.96</v>
      </c>
      <c r="M22" s="46">
        <f t="shared" si="6"/>
        <v>14.479</v>
      </c>
      <c r="N22" s="46">
        <f t="shared" si="7"/>
        <v>52.176</v>
      </c>
      <c r="O22" s="46">
        <f t="shared" si="8"/>
        <v>10.64</v>
      </c>
      <c r="P22" s="46">
        <f t="shared" si="9"/>
        <v>4.923</v>
      </c>
      <c r="Q22" s="46">
        <f t="shared" si="10"/>
        <v>-1.3661713530854875</v>
      </c>
      <c r="R22" s="48">
        <f t="shared" si="11"/>
        <v>30</v>
      </c>
      <c r="S22" s="48">
        <f t="shared" si="11"/>
        <v>6.5</v>
      </c>
      <c r="T22" s="48">
        <f t="shared" si="11"/>
        <v>2</v>
      </c>
      <c r="U22" s="48">
        <f t="shared" si="11"/>
        <v>0.22999999999999998</v>
      </c>
      <c r="V22" s="48">
        <f t="shared" si="12"/>
        <v>6.27</v>
      </c>
      <c r="W22" s="48">
        <f t="shared" si="13"/>
        <v>1.77</v>
      </c>
      <c r="X22" s="48">
        <f t="shared" si="14"/>
        <v>-3.25</v>
      </c>
      <c r="Y22" s="48">
        <f t="shared" si="15"/>
        <v>-4.686824999999999</v>
      </c>
      <c r="Z22" s="48">
        <f t="shared" si="16"/>
        <v>-6.27</v>
      </c>
      <c r="AA22" s="48">
        <f t="shared" si="17"/>
        <v>-2.5525169999999995</v>
      </c>
      <c r="AB22" s="48">
        <f t="shared" si="18"/>
        <v>517.4999999999999</v>
      </c>
      <c r="AC22" s="48">
        <f t="shared" si="19"/>
        <v>14.885</v>
      </c>
      <c r="AD22" s="48">
        <f t="shared" si="20"/>
        <v>319.52268402999994</v>
      </c>
      <c r="AE22" s="48">
        <f t="shared" si="21"/>
        <v>13.885</v>
      </c>
      <c r="AF22" s="48">
        <f t="shared" si="22"/>
        <v>78.59240553</v>
      </c>
      <c r="AG22" s="48">
        <f t="shared" si="23"/>
        <v>1.3661713530854875</v>
      </c>
      <c r="AH22" s="48">
        <f t="shared" si="24"/>
        <v>12.908744245340879</v>
      </c>
      <c r="AI22" s="48">
        <f t="shared" si="25"/>
        <v>1.8838286469145125</v>
      </c>
      <c r="AJ22" s="48">
        <f t="shared" si="26"/>
        <v>9.842167193426462</v>
      </c>
      <c r="AK22" s="48">
        <f t="shared" si="27"/>
        <v>4.903828646914512</v>
      </c>
      <c r="AL22" s="48">
        <f t="shared" si="28"/>
        <v>9.79154629314769</v>
      </c>
    </row>
    <row r="23" spans="1:38" ht="16.5">
      <c r="A23" s="45" t="str">
        <f t="shared" si="0"/>
        <v>C300x65x20x2,4</v>
      </c>
      <c r="B23" s="46">
        <f t="shared" si="1"/>
        <v>8.67</v>
      </c>
      <c r="C23" s="47">
        <v>300</v>
      </c>
      <c r="D23" s="47">
        <v>65</v>
      </c>
      <c r="E23" s="47">
        <v>20</v>
      </c>
      <c r="F23" s="47">
        <v>2.4</v>
      </c>
      <c r="G23" s="47"/>
      <c r="H23" s="47"/>
      <c r="I23" s="46">
        <f t="shared" si="2"/>
        <v>11.05</v>
      </c>
      <c r="J23" s="46">
        <f t="shared" si="3"/>
        <v>1368.293</v>
      </c>
      <c r="K23" s="46">
        <f t="shared" si="4"/>
        <v>45.61</v>
      </c>
      <c r="L23" s="46">
        <f t="shared" si="5"/>
        <v>123.827</v>
      </c>
      <c r="M23" s="46">
        <f t="shared" si="6"/>
        <v>15.054</v>
      </c>
      <c r="N23" s="46">
        <f t="shared" si="7"/>
        <v>54.185</v>
      </c>
      <c r="O23" s="46">
        <f t="shared" si="8"/>
        <v>11.063</v>
      </c>
      <c r="P23" s="46">
        <f t="shared" si="9"/>
        <v>4.904</v>
      </c>
      <c r="Q23" s="46">
        <f t="shared" si="10"/>
        <v>-1.3623572850678731</v>
      </c>
      <c r="R23" s="48">
        <f t="shared" si="11"/>
        <v>30</v>
      </c>
      <c r="S23" s="48">
        <f t="shared" si="11"/>
        <v>6.5</v>
      </c>
      <c r="T23" s="48">
        <f t="shared" si="11"/>
        <v>2</v>
      </c>
      <c r="U23" s="48">
        <f t="shared" si="11"/>
        <v>0.24</v>
      </c>
      <c r="V23" s="48">
        <f t="shared" si="12"/>
        <v>6.26</v>
      </c>
      <c r="W23" s="48">
        <f t="shared" si="13"/>
        <v>1.76</v>
      </c>
      <c r="X23" s="48">
        <f t="shared" si="14"/>
        <v>-3.25</v>
      </c>
      <c r="Y23" s="48">
        <f t="shared" si="15"/>
        <v>-4.8828</v>
      </c>
      <c r="Z23" s="48">
        <f t="shared" si="16"/>
        <v>-6.26</v>
      </c>
      <c r="AA23" s="48">
        <f t="shared" si="17"/>
        <v>-2.644224</v>
      </c>
      <c r="AB23" s="48">
        <f t="shared" si="18"/>
        <v>539.9999999999999</v>
      </c>
      <c r="AC23" s="48">
        <f t="shared" si="19"/>
        <v>14.88</v>
      </c>
      <c r="AD23" s="48">
        <f t="shared" si="20"/>
        <v>332.66020608</v>
      </c>
      <c r="AE23" s="48">
        <f t="shared" si="21"/>
        <v>13.879999999999999</v>
      </c>
      <c r="AF23" s="48">
        <f t="shared" si="22"/>
        <v>81.48625408</v>
      </c>
      <c r="AG23" s="48">
        <f t="shared" si="23"/>
        <v>1.3623572850678731</v>
      </c>
      <c r="AH23" s="48">
        <f t="shared" si="24"/>
        <v>13.397885079678046</v>
      </c>
      <c r="AI23" s="48">
        <f t="shared" si="25"/>
        <v>1.8876427149321269</v>
      </c>
      <c r="AJ23" s="48">
        <f t="shared" si="26"/>
        <v>10.259631716900662</v>
      </c>
      <c r="AK23" s="48">
        <f t="shared" si="27"/>
        <v>4.897642714932127</v>
      </c>
      <c r="AL23" s="48">
        <f t="shared" si="28"/>
        <v>10.134095838505155</v>
      </c>
    </row>
    <row r="24" spans="1:38" ht="16.5">
      <c r="A24" s="45" t="str">
        <f t="shared" si="0"/>
        <v>C300x65x20x2,5</v>
      </c>
      <c r="B24" s="46">
        <f t="shared" si="1"/>
        <v>9.03</v>
      </c>
      <c r="C24" s="47">
        <v>300</v>
      </c>
      <c r="D24" s="47">
        <v>65</v>
      </c>
      <c r="E24" s="47">
        <v>20</v>
      </c>
      <c r="F24" s="47">
        <v>2.5</v>
      </c>
      <c r="G24" s="47"/>
      <c r="H24" s="47"/>
      <c r="I24" s="46">
        <f t="shared" si="2"/>
        <v>11.5</v>
      </c>
      <c r="J24" s="46">
        <f t="shared" si="3"/>
        <v>1422.646</v>
      </c>
      <c r="K24" s="46">
        <f t="shared" si="4"/>
        <v>47.422</v>
      </c>
      <c r="L24" s="46">
        <f t="shared" si="5"/>
        <v>123.708</v>
      </c>
      <c r="M24" s="46">
        <f t="shared" si="6"/>
        <v>15.625</v>
      </c>
      <c r="N24" s="46">
        <f t="shared" si="7"/>
        <v>56.174</v>
      </c>
      <c r="O24" s="46">
        <f t="shared" si="8"/>
        <v>11.484</v>
      </c>
      <c r="P24" s="46">
        <f t="shared" si="9"/>
        <v>4.885</v>
      </c>
      <c r="Q24" s="46">
        <f t="shared" si="10"/>
        <v>-1.358695652173913</v>
      </c>
      <c r="R24" s="48">
        <f t="shared" si="11"/>
        <v>30</v>
      </c>
      <c r="S24" s="48">
        <f t="shared" si="11"/>
        <v>6.5</v>
      </c>
      <c r="T24" s="48">
        <f t="shared" si="11"/>
        <v>2</v>
      </c>
      <c r="U24" s="48">
        <f t="shared" si="11"/>
        <v>0.25</v>
      </c>
      <c r="V24" s="48">
        <f t="shared" si="12"/>
        <v>6.25</v>
      </c>
      <c r="W24" s="48">
        <f t="shared" si="13"/>
        <v>1.75</v>
      </c>
      <c r="X24" s="48">
        <f t="shared" si="14"/>
        <v>-3.25</v>
      </c>
      <c r="Y24" s="48">
        <f t="shared" si="15"/>
        <v>-5.078125</v>
      </c>
      <c r="Z24" s="48">
        <f t="shared" si="16"/>
        <v>-6.25</v>
      </c>
      <c r="AA24" s="48">
        <f t="shared" si="17"/>
        <v>-2.734375</v>
      </c>
      <c r="AB24" s="48">
        <f t="shared" si="18"/>
        <v>562.5</v>
      </c>
      <c r="AC24" s="48">
        <f t="shared" si="19"/>
        <v>14.875</v>
      </c>
      <c r="AD24" s="48">
        <f t="shared" si="20"/>
        <v>345.7356770833333</v>
      </c>
      <c r="AE24" s="48">
        <f t="shared" si="21"/>
        <v>13.875</v>
      </c>
      <c r="AF24" s="48">
        <f t="shared" si="22"/>
        <v>84.33723958333333</v>
      </c>
      <c r="AG24" s="48">
        <f t="shared" si="23"/>
        <v>1.358695652173913</v>
      </c>
      <c r="AH24" s="48">
        <f t="shared" si="24"/>
        <v>13.884466564272213</v>
      </c>
      <c r="AI24" s="48">
        <f t="shared" si="25"/>
        <v>1.891304347826087</v>
      </c>
      <c r="AJ24" s="48">
        <f t="shared" si="26"/>
        <v>10.67537573349874</v>
      </c>
      <c r="AK24" s="48">
        <f t="shared" si="27"/>
        <v>4.891304347826087</v>
      </c>
      <c r="AL24" s="48">
        <f t="shared" si="28"/>
        <v>10.469404118423126</v>
      </c>
    </row>
    <row r="25" spans="1:38" ht="16.5">
      <c r="A25" s="45" t="str">
        <f t="shared" si="0"/>
        <v>C175x50x20x2</v>
      </c>
      <c r="B25" s="46">
        <f t="shared" si="1"/>
        <v>4.82</v>
      </c>
      <c r="C25" s="47">
        <v>175</v>
      </c>
      <c r="D25" s="47">
        <v>50</v>
      </c>
      <c r="E25" s="47">
        <v>20</v>
      </c>
      <c r="F25" s="47">
        <v>2</v>
      </c>
      <c r="G25" s="47"/>
      <c r="H25" s="47"/>
      <c r="I25" s="46">
        <f t="shared" si="2"/>
        <v>6.14</v>
      </c>
      <c r="J25" s="46">
        <f t="shared" si="3"/>
        <v>275.319</v>
      </c>
      <c r="K25" s="46">
        <f t="shared" si="4"/>
        <v>15.733</v>
      </c>
      <c r="L25" s="46">
        <f t="shared" si="5"/>
        <v>44.84</v>
      </c>
      <c r="M25" s="46">
        <f t="shared" si="6"/>
        <v>8.256</v>
      </c>
      <c r="N25" s="46">
        <f t="shared" si="7"/>
        <v>21.188</v>
      </c>
      <c r="O25" s="46">
        <f t="shared" si="8"/>
        <v>6.132</v>
      </c>
      <c r="P25" s="46">
        <f t="shared" si="9"/>
        <v>3.451</v>
      </c>
      <c r="Q25" s="46">
        <f t="shared" si="10"/>
        <v>-1.3446254071661239</v>
      </c>
      <c r="R25" s="48">
        <f aca="true" t="shared" si="29" ref="R25:U31">C25/10</f>
        <v>17.5</v>
      </c>
      <c r="S25" s="48">
        <f t="shared" si="29"/>
        <v>5</v>
      </c>
      <c r="T25" s="48">
        <f t="shared" si="29"/>
        <v>2</v>
      </c>
      <c r="U25" s="48">
        <f t="shared" si="29"/>
        <v>0.2</v>
      </c>
      <c r="V25" s="48">
        <f t="shared" si="12"/>
        <v>4.8</v>
      </c>
      <c r="W25" s="48">
        <f t="shared" si="13"/>
        <v>1.8</v>
      </c>
      <c r="X25" s="48">
        <f t="shared" si="14"/>
        <v>-2.5</v>
      </c>
      <c r="Y25" s="48">
        <f t="shared" si="15"/>
        <v>-2.4</v>
      </c>
      <c r="Z25" s="48">
        <f t="shared" si="16"/>
        <v>-4.8</v>
      </c>
      <c r="AA25" s="48">
        <f t="shared" si="17"/>
        <v>-1.7280000000000002</v>
      </c>
      <c r="AB25" s="48">
        <f t="shared" si="18"/>
        <v>89.32291666666667</v>
      </c>
      <c r="AC25" s="48">
        <f t="shared" si="19"/>
        <v>8.65</v>
      </c>
      <c r="AD25" s="48">
        <f t="shared" si="20"/>
        <v>71.8328</v>
      </c>
      <c r="AE25" s="48">
        <f t="shared" si="21"/>
        <v>7.65</v>
      </c>
      <c r="AF25" s="48">
        <f t="shared" si="22"/>
        <v>21.165300000000006</v>
      </c>
      <c r="AG25" s="48">
        <f t="shared" si="23"/>
        <v>1.3446254071661239</v>
      </c>
      <c r="AH25" s="48">
        <f t="shared" si="24"/>
        <v>6.339727866254993</v>
      </c>
      <c r="AI25" s="48">
        <f t="shared" si="25"/>
        <v>1.1553745928338761</v>
      </c>
      <c r="AJ25" s="48">
        <f t="shared" si="26"/>
        <v>3.124694831775403</v>
      </c>
      <c r="AK25" s="48">
        <f t="shared" si="27"/>
        <v>3.455374592833876</v>
      </c>
      <c r="AL25" s="48">
        <f t="shared" si="28"/>
        <v>4.299460887648675</v>
      </c>
    </row>
    <row r="26" spans="1:38" ht="16.5">
      <c r="A26" s="45" t="str">
        <f t="shared" si="0"/>
        <v>C175x65x20x2</v>
      </c>
      <c r="B26" s="46">
        <f t="shared" si="1"/>
        <v>5.29</v>
      </c>
      <c r="C26" s="47">
        <v>175</v>
      </c>
      <c r="D26" s="47">
        <v>65</v>
      </c>
      <c r="E26" s="47">
        <v>20</v>
      </c>
      <c r="F26" s="47">
        <v>2</v>
      </c>
      <c r="G26" s="47"/>
      <c r="H26" s="47"/>
      <c r="I26" s="46">
        <f t="shared" si="2"/>
        <v>6.74</v>
      </c>
      <c r="J26" s="46">
        <f t="shared" si="3"/>
        <v>320.215</v>
      </c>
      <c r="K26" s="46">
        <f t="shared" si="4"/>
        <v>18.298</v>
      </c>
      <c r="L26" s="46">
        <f t="shared" si="5"/>
        <v>47.51</v>
      </c>
      <c r="M26" s="46">
        <f t="shared" si="6"/>
        <v>12.726</v>
      </c>
      <c r="N26" s="46">
        <f t="shared" si="7"/>
        <v>39.515</v>
      </c>
      <c r="O26" s="46">
        <f t="shared" si="8"/>
        <v>8.957</v>
      </c>
      <c r="P26" s="46">
        <f t="shared" si="9"/>
        <v>5.863</v>
      </c>
      <c r="Q26" s="46">
        <f t="shared" si="10"/>
        <v>-1.8881305637982193</v>
      </c>
      <c r="R26" s="48">
        <f t="shared" si="29"/>
        <v>17.5</v>
      </c>
      <c r="S26" s="48">
        <f t="shared" si="29"/>
        <v>6.5</v>
      </c>
      <c r="T26" s="48">
        <f t="shared" si="29"/>
        <v>2</v>
      </c>
      <c r="U26" s="48">
        <f t="shared" si="29"/>
        <v>0.2</v>
      </c>
      <c r="V26" s="48">
        <f t="shared" si="12"/>
        <v>6.3</v>
      </c>
      <c r="W26" s="48">
        <f t="shared" si="13"/>
        <v>1.8</v>
      </c>
      <c r="X26" s="48">
        <f t="shared" si="14"/>
        <v>-3.25</v>
      </c>
      <c r="Y26" s="48">
        <f t="shared" si="15"/>
        <v>-4.095</v>
      </c>
      <c r="Z26" s="48">
        <f t="shared" si="16"/>
        <v>-6.3</v>
      </c>
      <c r="AA26" s="48">
        <f t="shared" si="17"/>
        <v>-2.2680000000000002</v>
      </c>
      <c r="AB26" s="48">
        <f t="shared" si="18"/>
        <v>89.32291666666667</v>
      </c>
      <c r="AC26" s="48">
        <f t="shared" si="19"/>
        <v>8.65</v>
      </c>
      <c r="AD26" s="48">
        <f t="shared" si="20"/>
        <v>94.28055</v>
      </c>
      <c r="AE26" s="48">
        <f t="shared" si="21"/>
        <v>7.65</v>
      </c>
      <c r="AF26" s="48">
        <f t="shared" si="22"/>
        <v>21.165300000000006</v>
      </c>
      <c r="AG26" s="48">
        <f t="shared" si="23"/>
        <v>1.8881305637982193</v>
      </c>
      <c r="AH26" s="48">
        <f t="shared" si="24"/>
        <v>12.489296257488103</v>
      </c>
      <c r="AI26" s="48">
        <f t="shared" si="25"/>
        <v>1.3618694362017807</v>
      </c>
      <c r="AJ26" s="48">
        <f t="shared" si="26"/>
        <v>6.504357335188301</v>
      </c>
      <c r="AK26" s="48">
        <f t="shared" si="27"/>
        <v>4.411869436201781</v>
      </c>
      <c r="AL26" s="48">
        <f t="shared" si="28"/>
        <v>7.008453091952911</v>
      </c>
    </row>
    <row r="27" spans="1:38" ht="16.5">
      <c r="A27" s="45" t="str">
        <f t="shared" si="0"/>
        <v>C200x65x20x2</v>
      </c>
      <c r="B27" s="46">
        <f t="shared" si="1"/>
        <v>5.68</v>
      </c>
      <c r="C27" s="47">
        <v>200</v>
      </c>
      <c r="D27" s="47">
        <v>65</v>
      </c>
      <c r="E27" s="47">
        <v>20</v>
      </c>
      <c r="F27" s="47">
        <v>2</v>
      </c>
      <c r="G27" s="47"/>
      <c r="H27" s="47"/>
      <c r="I27" s="46">
        <f t="shared" si="2"/>
        <v>7.24</v>
      </c>
      <c r="J27" s="46">
        <f t="shared" si="3"/>
        <v>437.553</v>
      </c>
      <c r="K27" s="46">
        <f t="shared" si="4"/>
        <v>21.878</v>
      </c>
      <c r="L27" s="46">
        <f t="shared" si="5"/>
        <v>60.435</v>
      </c>
      <c r="M27" s="46">
        <f t="shared" si="6"/>
        <v>12.726</v>
      </c>
      <c r="N27" s="46">
        <f t="shared" si="7"/>
        <v>41.176</v>
      </c>
      <c r="O27" s="46">
        <f t="shared" si="8"/>
        <v>9.065</v>
      </c>
      <c r="P27" s="46">
        <f t="shared" si="9"/>
        <v>5.687</v>
      </c>
      <c r="Q27" s="46">
        <f t="shared" si="10"/>
        <v>-1.7577348066298342</v>
      </c>
      <c r="R27" s="48">
        <f t="shared" si="29"/>
        <v>20</v>
      </c>
      <c r="S27" s="48">
        <f t="shared" si="29"/>
        <v>6.5</v>
      </c>
      <c r="T27" s="48">
        <f t="shared" si="29"/>
        <v>2</v>
      </c>
      <c r="U27" s="48">
        <f t="shared" si="29"/>
        <v>0.2</v>
      </c>
      <c r="V27" s="48">
        <f t="shared" si="12"/>
        <v>6.3</v>
      </c>
      <c r="W27" s="48">
        <f t="shared" si="13"/>
        <v>1.8</v>
      </c>
      <c r="X27" s="48">
        <f t="shared" si="14"/>
        <v>-3.25</v>
      </c>
      <c r="Y27" s="48">
        <f t="shared" si="15"/>
        <v>-4.095</v>
      </c>
      <c r="Z27" s="48">
        <f t="shared" si="16"/>
        <v>-6.3</v>
      </c>
      <c r="AA27" s="48">
        <f t="shared" si="17"/>
        <v>-2.2680000000000002</v>
      </c>
      <c r="AB27" s="48">
        <f t="shared" si="18"/>
        <v>133.33333333333334</v>
      </c>
      <c r="AC27" s="48">
        <f t="shared" si="19"/>
        <v>9.9</v>
      </c>
      <c r="AD27" s="48">
        <f t="shared" si="20"/>
        <v>123.49680000000001</v>
      </c>
      <c r="AE27" s="48">
        <f t="shared" si="21"/>
        <v>8.9</v>
      </c>
      <c r="AF27" s="48">
        <f t="shared" si="22"/>
        <v>28.612800000000007</v>
      </c>
      <c r="AG27" s="48">
        <f t="shared" si="23"/>
        <v>1.7577348066298342</v>
      </c>
      <c r="AH27" s="48">
        <f t="shared" si="24"/>
        <v>12.371859935085416</v>
      </c>
      <c r="AI27" s="48">
        <f t="shared" si="25"/>
        <v>1.4922651933701658</v>
      </c>
      <c r="AJ27" s="48">
        <f t="shared" si="26"/>
        <v>6.973287813253563</v>
      </c>
      <c r="AK27" s="48">
        <f t="shared" si="27"/>
        <v>4.542265193370166</v>
      </c>
      <c r="AL27" s="48">
        <f t="shared" si="28"/>
        <v>7.428782311284759</v>
      </c>
    </row>
    <row r="28" spans="1:38" ht="16.5">
      <c r="A28" s="45" t="str">
        <f t="shared" si="0"/>
        <v>C200x65x20x1,8</v>
      </c>
      <c r="B28" s="46">
        <f t="shared" si="1"/>
        <v>5.13</v>
      </c>
      <c r="C28" s="47">
        <v>200</v>
      </c>
      <c r="D28" s="47">
        <v>65</v>
      </c>
      <c r="E28" s="47">
        <v>20</v>
      </c>
      <c r="F28" s="47">
        <v>1.8</v>
      </c>
      <c r="G28" s="47"/>
      <c r="H28" s="47"/>
      <c r="I28" s="46">
        <f t="shared" si="2"/>
        <v>6.53</v>
      </c>
      <c r="J28" s="46">
        <f t="shared" si="3"/>
        <v>395.645</v>
      </c>
      <c r="K28" s="46">
        <f t="shared" si="4"/>
        <v>19.782</v>
      </c>
      <c r="L28" s="46">
        <f t="shared" si="5"/>
        <v>60.589</v>
      </c>
      <c r="M28" s="46">
        <f t="shared" si="6"/>
        <v>11.535</v>
      </c>
      <c r="N28" s="46">
        <f t="shared" si="7"/>
        <v>37.411</v>
      </c>
      <c r="O28" s="46">
        <f t="shared" si="8"/>
        <v>8.216</v>
      </c>
      <c r="P28" s="46">
        <f t="shared" si="9"/>
        <v>5.729</v>
      </c>
      <c r="Q28" s="46">
        <f t="shared" si="10"/>
        <v>-1.7665029096477793</v>
      </c>
      <c r="R28" s="48">
        <f t="shared" si="29"/>
        <v>20</v>
      </c>
      <c r="S28" s="48">
        <f t="shared" si="29"/>
        <v>6.5</v>
      </c>
      <c r="T28" s="48">
        <f t="shared" si="29"/>
        <v>2</v>
      </c>
      <c r="U28" s="48">
        <f t="shared" si="29"/>
        <v>0.18</v>
      </c>
      <c r="V28" s="48">
        <f t="shared" si="12"/>
        <v>6.32</v>
      </c>
      <c r="W28" s="48">
        <f t="shared" si="13"/>
        <v>1.82</v>
      </c>
      <c r="X28" s="48">
        <f t="shared" si="14"/>
        <v>-3.25</v>
      </c>
      <c r="Y28" s="48">
        <f t="shared" si="15"/>
        <v>-3.6971999999999996</v>
      </c>
      <c r="Z28" s="48">
        <f t="shared" si="16"/>
        <v>-6.32</v>
      </c>
      <c r="AA28" s="48">
        <f t="shared" si="17"/>
        <v>-2.0704320000000003</v>
      </c>
      <c r="AB28" s="48">
        <f t="shared" si="18"/>
        <v>120</v>
      </c>
      <c r="AC28" s="48">
        <f t="shared" si="19"/>
        <v>9.91</v>
      </c>
      <c r="AD28" s="48">
        <f t="shared" si="20"/>
        <v>111.72460608</v>
      </c>
      <c r="AE28" s="48">
        <f t="shared" si="21"/>
        <v>8.91</v>
      </c>
      <c r="AF28" s="48">
        <f t="shared" si="22"/>
        <v>26.097970080000003</v>
      </c>
      <c r="AG28" s="48">
        <f t="shared" si="23"/>
        <v>1.7665029096477793</v>
      </c>
      <c r="AH28" s="48">
        <f t="shared" si="24"/>
        <v>11.243637107258653</v>
      </c>
      <c r="AI28" s="48">
        <f t="shared" si="25"/>
        <v>1.4834970903522207</v>
      </c>
      <c r="AJ28" s="48">
        <f t="shared" si="26"/>
        <v>6.290128210794195</v>
      </c>
      <c r="AK28" s="48">
        <f t="shared" si="27"/>
        <v>4.553497090352221</v>
      </c>
      <c r="AL28" s="48">
        <f t="shared" si="28"/>
        <v>6.793452912304796</v>
      </c>
    </row>
    <row r="29" spans="1:38" ht="16.5">
      <c r="A29" s="45" t="str">
        <f t="shared" si="0"/>
        <v>C150x50x20x2</v>
      </c>
      <c r="B29" s="46">
        <f t="shared" si="1"/>
        <v>4.43</v>
      </c>
      <c r="C29" s="47">
        <v>150</v>
      </c>
      <c r="D29" s="47">
        <v>50</v>
      </c>
      <c r="E29" s="47">
        <v>20</v>
      </c>
      <c r="F29" s="47">
        <v>2</v>
      </c>
      <c r="G29" s="47"/>
      <c r="H29" s="47"/>
      <c r="I29" s="46">
        <f t="shared" si="2"/>
        <v>5.64</v>
      </c>
      <c r="J29" s="46">
        <f t="shared" si="3"/>
        <v>191.081</v>
      </c>
      <c r="K29" s="46">
        <f t="shared" si="4"/>
        <v>12.739</v>
      </c>
      <c r="L29" s="46">
        <f t="shared" si="5"/>
        <v>33.88</v>
      </c>
      <c r="M29" s="46">
        <f t="shared" si="6"/>
        <v>8.256</v>
      </c>
      <c r="N29" s="46">
        <f t="shared" si="7"/>
        <v>20.202</v>
      </c>
      <c r="O29" s="46">
        <f t="shared" si="8"/>
        <v>6.055</v>
      </c>
      <c r="P29" s="46">
        <f t="shared" si="9"/>
        <v>3.582</v>
      </c>
      <c r="Q29" s="46">
        <f t="shared" si="10"/>
        <v>-1.4638297872340427</v>
      </c>
      <c r="R29" s="48">
        <f t="shared" si="29"/>
        <v>15</v>
      </c>
      <c r="S29" s="48">
        <f t="shared" si="29"/>
        <v>5</v>
      </c>
      <c r="T29" s="48">
        <f t="shared" si="29"/>
        <v>2</v>
      </c>
      <c r="U29" s="48">
        <f t="shared" si="29"/>
        <v>0.2</v>
      </c>
      <c r="V29" s="48">
        <f t="shared" si="12"/>
        <v>4.8</v>
      </c>
      <c r="W29" s="48">
        <f t="shared" si="13"/>
        <v>1.8</v>
      </c>
      <c r="X29" s="48">
        <f t="shared" si="14"/>
        <v>-2.5</v>
      </c>
      <c r="Y29" s="48">
        <f t="shared" si="15"/>
        <v>-2.4</v>
      </c>
      <c r="Z29" s="48">
        <f t="shared" si="16"/>
        <v>-4.8</v>
      </c>
      <c r="AA29" s="48">
        <f t="shared" si="17"/>
        <v>-1.7280000000000002</v>
      </c>
      <c r="AB29" s="48">
        <f t="shared" si="18"/>
        <v>56.25</v>
      </c>
      <c r="AC29" s="48">
        <f t="shared" si="19"/>
        <v>7.4</v>
      </c>
      <c r="AD29" s="48">
        <f t="shared" si="20"/>
        <v>52.5728</v>
      </c>
      <c r="AE29" s="48">
        <f t="shared" si="21"/>
        <v>6.3999999999999995</v>
      </c>
      <c r="AF29" s="48">
        <f t="shared" si="22"/>
        <v>14.842800000000002</v>
      </c>
      <c r="AG29" s="48">
        <f t="shared" si="23"/>
        <v>1.4638297872340427</v>
      </c>
      <c r="AH29" s="48">
        <f t="shared" si="24"/>
        <v>6.438392937980989</v>
      </c>
      <c r="AI29" s="48">
        <f t="shared" si="25"/>
        <v>1.0361702127659573</v>
      </c>
      <c r="AJ29" s="48">
        <f t="shared" si="26"/>
        <v>2.873902761430511</v>
      </c>
      <c r="AK29" s="48">
        <f t="shared" si="27"/>
        <v>3.336170212765957</v>
      </c>
      <c r="AL29" s="48">
        <f t="shared" si="28"/>
        <v>4.008011407876866</v>
      </c>
    </row>
    <row r="30" spans="1:38" ht="16.5">
      <c r="A30" s="45" t="str">
        <f t="shared" si="0"/>
        <v>C0x0x0x0</v>
      </c>
      <c r="B30" s="46">
        <f t="shared" si="1"/>
        <v>0</v>
      </c>
      <c r="C30" s="47">
        <v>0</v>
      </c>
      <c r="D30" s="47">
        <v>0</v>
      </c>
      <c r="E30" s="47">
        <v>0</v>
      </c>
      <c r="F30" s="47">
        <v>0</v>
      </c>
      <c r="G30" s="47"/>
      <c r="H30" s="47"/>
      <c r="I30" s="46">
        <f t="shared" si="2"/>
        <v>0</v>
      </c>
      <c r="J30" s="46">
        <f t="shared" si="3"/>
        <v>0</v>
      </c>
      <c r="K30" s="46" t="e">
        <f t="shared" si="4"/>
        <v>#DIV/0!</v>
      </c>
      <c r="L30" s="46" t="e">
        <f t="shared" si="5"/>
        <v>#DIV/0!</v>
      </c>
      <c r="M30" s="46">
        <f t="shared" si="6"/>
        <v>0</v>
      </c>
      <c r="N30" s="46" t="e">
        <f t="shared" si="7"/>
        <v>#DIV/0!</v>
      </c>
      <c r="O30" s="46" t="e">
        <f t="shared" si="8"/>
        <v>#DIV/0!</v>
      </c>
      <c r="P30" s="46" t="e">
        <f t="shared" si="9"/>
        <v>#DIV/0!</v>
      </c>
      <c r="Q30" s="46" t="e">
        <f t="shared" si="10"/>
        <v>#DIV/0!</v>
      </c>
      <c r="R30" s="48">
        <f t="shared" si="29"/>
        <v>0</v>
      </c>
      <c r="S30" s="48">
        <f t="shared" si="29"/>
        <v>0</v>
      </c>
      <c r="T30" s="48">
        <f t="shared" si="29"/>
        <v>0</v>
      </c>
      <c r="U30" s="48">
        <f t="shared" si="29"/>
        <v>0</v>
      </c>
      <c r="V30" s="48">
        <f t="shared" si="12"/>
        <v>0</v>
      </c>
      <c r="W30" s="48">
        <f t="shared" si="13"/>
        <v>0</v>
      </c>
      <c r="X30" s="48">
        <f t="shared" si="14"/>
        <v>0</v>
      </c>
      <c r="Y30" s="48">
        <f t="shared" si="15"/>
        <v>0</v>
      </c>
      <c r="Z30" s="48">
        <f t="shared" si="16"/>
        <v>0</v>
      </c>
      <c r="AA30" s="48">
        <f t="shared" si="17"/>
        <v>0</v>
      </c>
      <c r="AB30" s="48">
        <f t="shared" si="18"/>
        <v>0</v>
      </c>
      <c r="AC30" s="48">
        <f t="shared" si="19"/>
        <v>0</v>
      </c>
      <c r="AD30" s="48">
        <f t="shared" si="20"/>
        <v>0</v>
      </c>
      <c r="AE30" s="48">
        <f t="shared" si="21"/>
        <v>0</v>
      </c>
      <c r="AF30" s="48">
        <f t="shared" si="22"/>
        <v>0</v>
      </c>
      <c r="AG30" s="48" t="e">
        <f t="shared" si="23"/>
        <v>#DIV/0!</v>
      </c>
      <c r="AH30" s="48" t="e">
        <f t="shared" si="24"/>
        <v>#DIV/0!</v>
      </c>
      <c r="AI30" s="48" t="e">
        <f t="shared" si="25"/>
        <v>#DIV/0!</v>
      </c>
      <c r="AJ30" s="48" t="e">
        <f t="shared" si="26"/>
        <v>#DIV/0!</v>
      </c>
      <c r="AK30" s="48" t="e">
        <f t="shared" si="27"/>
        <v>#DIV/0!</v>
      </c>
      <c r="AL30" s="48" t="e">
        <f t="shared" si="28"/>
        <v>#DIV/0!</v>
      </c>
    </row>
    <row r="31" spans="1:38" ht="16.5">
      <c r="A31" s="45" t="str">
        <f t="shared" si="0"/>
        <v>C0x0x0x0</v>
      </c>
      <c r="B31" s="46">
        <f t="shared" si="1"/>
        <v>0</v>
      </c>
      <c r="C31" s="47">
        <v>0</v>
      </c>
      <c r="D31" s="47">
        <v>0</v>
      </c>
      <c r="E31" s="47">
        <v>0</v>
      </c>
      <c r="F31" s="47">
        <v>0</v>
      </c>
      <c r="G31" s="47"/>
      <c r="H31" s="47"/>
      <c r="I31" s="46">
        <f t="shared" si="2"/>
        <v>0</v>
      </c>
      <c r="J31" s="46">
        <f t="shared" si="3"/>
        <v>0</v>
      </c>
      <c r="K31" s="46" t="e">
        <f>ROUND((J31/R31),3)</f>
        <v>#DIV/0!</v>
      </c>
      <c r="L31" s="46" t="e">
        <f>ROUND((J31/I31),3)</f>
        <v>#DIV/0!</v>
      </c>
      <c r="M31" s="46">
        <f>ROUND((ABS((2*Y31)+(2*AA31))),3)</f>
        <v>0</v>
      </c>
      <c r="N31" s="46" t="e">
        <f>ROUND((AH31+(2*AJ31)+(2*AL31)),3)</f>
        <v>#DIV/0!</v>
      </c>
      <c r="O31" s="46" t="e">
        <f>ROUND((N31/(V31-(ABS(Q31)))),3)</f>
        <v>#DIV/0!</v>
      </c>
      <c r="P31" s="46" t="e">
        <f>ROUND((N31/I31),3)</f>
        <v>#DIV/0!</v>
      </c>
      <c r="Q31" s="46" t="e">
        <f>((2*Y31)+(2*AA31))/I31</f>
        <v>#DIV/0!</v>
      </c>
      <c r="R31" s="48">
        <f t="shared" si="29"/>
        <v>0</v>
      </c>
      <c r="S31" s="48">
        <f t="shared" si="29"/>
        <v>0</v>
      </c>
      <c r="T31" s="48">
        <f t="shared" si="29"/>
        <v>0</v>
      </c>
      <c r="U31" s="48">
        <f t="shared" si="29"/>
        <v>0</v>
      </c>
      <c r="V31" s="48">
        <f>S31-U31</f>
        <v>0</v>
      </c>
      <c r="W31" s="48">
        <f>T31-U31</f>
        <v>0</v>
      </c>
      <c r="X31" s="48">
        <f>(-U31/2)+(-V31/2)</f>
        <v>0</v>
      </c>
      <c r="Y31" s="48">
        <f>V31*U31*X31</f>
        <v>0</v>
      </c>
      <c r="Z31" s="48">
        <f>-(S31-U31)</f>
        <v>0</v>
      </c>
      <c r="AA31" s="48">
        <f>U31*W31*Z31</f>
        <v>0</v>
      </c>
      <c r="AB31" s="48">
        <f>U31*R31*R31*R31/12</f>
        <v>0</v>
      </c>
      <c r="AC31" s="48">
        <f>(R31/2)-(U31/2)</f>
        <v>0</v>
      </c>
      <c r="AD31" s="48">
        <f>(V31*U31*U31*U31/12)+(V31*U31*AC31*AC31)</f>
        <v>0</v>
      </c>
      <c r="AE31" s="48">
        <f>(R31/2)-U31-(W31/2)</f>
        <v>0</v>
      </c>
      <c r="AF31" s="48">
        <f>(U31*W31*W31*W31/12)+(U31*W31*AE31*AE31)</f>
        <v>0</v>
      </c>
      <c r="AG31" s="48" t="e">
        <f>ABS(Q31)</f>
        <v>#DIV/0!</v>
      </c>
      <c r="AH31" s="48" t="e">
        <f>(R31*U31*U31*U31/12)+(AG31*AG31*R31*U31)</f>
        <v>#DIV/0!</v>
      </c>
      <c r="AI31" s="48" t="e">
        <f>ABS((ABS(X31))-(ABS(Q31)))</f>
        <v>#DIV/0!</v>
      </c>
      <c r="AJ31" s="48" t="e">
        <f>(U31*V31*V31*V31/12)+(AI31*AI31*U31*V31)</f>
        <v>#DIV/0!</v>
      </c>
      <c r="AK31" s="48" t="e">
        <f>ABS((ABS(Z31))-(ABS(Q31)))</f>
        <v>#DIV/0!</v>
      </c>
      <c r="AL31" s="48" t="e">
        <f>(W31*U31*U31*U31/12)+(AK31*AK31*W31*U31)</f>
        <v>#DIV/0!</v>
      </c>
    </row>
  </sheetData>
  <sheetProtection/>
  <mergeCells count="41">
    <mergeCell ref="A2:Q2"/>
    <mergeCell ref="A3:A6"/>
    <mergeCell ref="B3:B6"/>
    <mergeCell ref="C3:F3"/>
    <mergeCell ref="I3:I6"/>
    <mergeCell ref="J3:J5"/>
    <mergeCell ref="K3:K5"/>
    <mergeCell ref="L3:L5"/>
    <mergeCell ref="M3:M5"/>
    <mergeCell ref="N3:N5"/>
    <mergeCell ref="O3:O5"/>
    <mergeCell ref="P3:P5"/>
    <mergeCell ref="Q3:Q5"/>
    <mergeCell ref="R3:U3"/>
    <mergeCell ref="C4:C6"/>
    <mergeCell ref="D4:D6"/>
    <mergeCell ref="E4:E6"/>
    <mergeCell ref="F4:F6"/>
    <mergeCell ref="G4:G6"/>
    <mergeCell ref="H4:H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J4:AJ6"/>
    <mergeCell ref="AK4:AK6"/>
    <mergeCell ref="AL4:AL6"/>
    <mergeCell ref="AD4:AD6"/>
    <mergeCell ref="AE4:AE6"/>
    <mergeCell ref="AF4:AF6"/>
    <mergeCell ref="AG4:AG6"/>
    <mergeCell ref="AH4:AH6"/>
    <mergeCell ref="AI4:A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 - DCCD</dc:creator>
  <cp:keywords/>
  <dc:description/>
  <cp:lastModifiedBy>Dell_Core_I5</cp:lastModifiedBy>
  <cp:lastPrinted>2016-01-28T02:46:38Z</cp:lastPrinted>
  <dcterms:created xsi:type="dcterms:W3CDTF">2011-01-07T01:42:57Z</dcterms:created>
  <dcterms:modified xsi:type="dcterms:W3CDTF">2016-11-09T02:27:17Z</dcterms:modified>
  <cp:category/>
  <cp:version/>
  <cp:contentType/>
  <cp:contentStatus/>
</cp:coreProperties>
</file>